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9 - COMERCIAL\1 - LICITAÇÕES\10 - 2024\03 - MARÇO\11 - 170195 - SUPERINTENDÊNCIA DE ADMINISTRAÇÃO DO MF GO - 05032024 - LHA\PROPOSTA - RI\"/>
    </mc:Choice>
  </mc:AlternateContent>
  <xr:revisionPtr revIDLastSave="0" documentId="13_ncr:1_{AC364505-1175-403F-8471-1EECC8CC82A6}" xr6:coauthVersionLast="47" xr6:coauthVersionMax="47" xr10:uidLastSave="{00000000-0000-0000-0000-000000000000}"/>
  <bookViews>
    <workbookView xWindow="22932" yWindow="-108" windowWidth="23256" windowHeight="12576" tabRatio="864" xr2:uid="{00000000-000D-0000-FFFF-FFFF00000000}"/>
  </bookViews>
  <sheets>
    <sheet name="PROPOSTA RESUMO" sheetId="167" r:id="rId1"/>
    <sheet name="Produtividade X Postos" sheetId="184" r:id="rId2"/>
    <sheet name="Metragem por Localidade" sheetId="183" r:id="rId3"/>
    <sheet name="Produtividade X Custos Resumo" sheetId="185" r:id="rId4"/>
    <sheet name="BASE-MATERIAL-EQUIP-UNIFORME" sheetId="182" r:id="rId5"/>
    <sheet name="BASE-APR VR" sheetId="66" r:id="rId6"/>
    <sheet name="BASE-Alíquotas ISS" sheetId="180" r:id="rId7"/>
    <sheet name="BASE-Endereços e Contatos" sheetId="177" r:id="rId8"/>
    <sheet name="BASE-Tarifas de Passagens" sheetId="179" r:id="rId9"/>
    <sheet name="1-Servente Goiânia SRA" sheetId="187" r:id="rId10"/>
    <sheet name="2-Servente Goiânia PFN" sheetId="202" r:id="rId11"/>
    <sheet name="3-Servente Goiania SPU" sheetId="204" r:id="rId12"/>
  </sheets>
  <definedNames>
    <definedName name="PORC">#N/A</definedName>
  </definedNames>
  <calcPr calcId="191028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3" i="204" l="1"/>
  <c r="D143" i="187"/>
  <c r="D143" i="202"/>
  <c r="F148" i="202" s="1"/>
  <c r="C143" i="202"/>
  <c r="H45" i="187"/>
  <c r="F34" i="66"/>
  <c r="B34" i="66"/>
  <c r="I74" i="182"/>
  <c r="I67" i="182"/>
  <c r="I69" i="182"/>
  <c r="I70" i="182"/>
  <c r="B40" i="66"/>
  <c r="I54" i="182"/>
  <c r="I53" i="182"/>
  <c r="H45" i="202"/>
  <c r="H45" i="204" s="1"/>
  <c r="H121" i="204"/>
  <c r="H120" i="204"/>
  <c r="H117" i="204"/>
  <c r="H116" i="204"/>
  <c r="H121" i="202"/>
  <c r="H120" i="202"/>
  <c r="H117" i="202"/>
  <c r="H116" i="202"/>
  <c r="C34" i="66"/>
  <c r="D31" i="184"/>
  <c r="D16" i="184"/>
  <c r="L43" i="184"/>
  <c r="D47" i="184"/>
  <c r="E28" i="167"/>
  <c r="O16" i="184" l="1"/>
  <c r="I73" i="182"/>
  <c r="G49" i="182"/>
  <c r="I49" i="182" s="1"/>
  <c r="G48" i="182"/>
  <c r="I48" i="182" s="1"/>
  <c r="G47" i="182"/>
  <c r="I47" i="182" s="1"/>
  <c r="G46" i="182"/>
  <c r="I46" i="182" s="1"/>
  <c r="G45" i="182"/>
  <c r="I45" i="182" s="1"/>
  <c r="G44" i="182"/>
  <c r="I44" i="182" s="1"/>
  <c r="G43" i="182"/>
  <c r="I43" i="182" s="1"/>
  <c r="G42" i="182"/>
  <c r="I42" i="182" s="1"/>
  <c r="G41" i="182"/>
  <c r="I41" i="182" s="1"/>
  <c r="G40" i="182"/>
  <c r="I40" i="182" s="1"/>
  <c r="G39" i="182"/>
  <c r="I39" i="182" s="1"/>
  <c r="H56" i="202"/>
  <c r="H9" i="204"/>
  <c r="H9" i="187"/>
  <c r="I85" i="182"/>
  <c r="I86" i="182"/>
  <c r="I87" i="182"/>
  <c r="I84" i="182"/>
  <c r="M57" i="184"/>
  <c r="M55" i="184"/>
  <c r="M56" i="184"/>
  <c r="M51" i="184"/>
  <c r="M20" i="184"/>
  <c r="M27" i="184"/>
  <c r="G3" i="182"/>
  <c r="I3" i="182" s="1"/>
  <c r="G4" i="182"/>
  <c r="I4" i="182" s="1"/>
  <c r="G5" i="182"/>
  <c r="I5" i="182" s="1"/>
  <c r="G6" i="182"/>
  <c r="G7" i="182"/>
  <c r="G8" i="182"/>
  <c r="G9" i="182"/>
  <c r="I9" i="182" s="1"/>
  <c r="G10" i="182"/>
  <c r="I10" i="182" s="1"/>
  <c r="G11" i="182"/>
  <c r="I11" i="182" s="1"/>
  <c r="G12" i="182"/>
  <c r="G13" i="182"/>
  <c r="G14" i="182"/>
  <c r="G15" i="182"/>
  <c r="I15" i="182" s="1"/>
  <c r="G16" i="182"/>
  <c r="I16" i="182" s="1"/>
  <c r="G17" i="182"/>
  <c r="I17" i="182" s="1"/>
  <c r="G18" i="182"/>
  <c r="G19" i="182"/>
  <c r="G20" i="182"/>
  <c r="G21" i="182"/>
  <c r="I21" i="182" s="1"/>
  <c r="G22" i="182"/>
  <c r="I22" i="182" s="1"/>
  <c r="G23" i="182"/>
  <c r="I23" i="182" s="1"/>
  <c r="G24" i="182"/>
  <c r="G25" i="182"/>
  <c r="G26" i="182"/>
  <c r="G27" i="182"/>
  <c r="I27" i="182" s="1"/>
  <c r="G28" i="182"/>
  <c r="I28" i="182" s="1"/>
  <c r="G29" i="182"/>
  <c r="I29" i="182" s="1"/>
  <c r="G30" i="182"/>
  <c r="G31" i="182"/>
  <c r="G32" i="182"/>
  <c r="G2" i="182"/>
  <c r="I2" i="182" s="1"/>
  <c r="D3" i="183"/>
  <c r="D4" i="183"/>
  <c r="I6" i="182"/>
  <c r="I7" i="182"/>
  <c r="I8" i="182"/>
  <c r="I12" i="182"/>
  <c r="I13" i="182"/>
  <c r="I14" i="182"/>
  <c r="I18" i="182"/>
  <c r="I19" i="182"/>
  <c r="I20" i="182"/>
  <c r="I24" i="182"/>
  <c r="I25" i="182"/>
  <c r="I26" i="182"/>
  <c r="I30" i="182"/>
  <c r="I31" i="182"/>
  <c r="I32" i="182"/>
  <c r="H51" i="204"/>
  <c r="H51" i="202"/>
  <c r="A2" i="187"/>
  <c r="H36" i="187"/>
  <c r="H51" i="187"/>
  <c r="E6" i="179"/>
  <c r="D6" i="179"/>
  <c r="C6" i="179"/>
  <c r="B6" i="179"/>
  <c r="A6" i="179"/>
  <c r="E5" i="179"/>
  <c r="D5" i="179"/>
  <c r="C5" i="179"/>
  <c r="B5" i="179"/>
  <c r="A5" i="179"/>
  <c r="E4" i="179"/>
  <c r="D4" i="179"/>
  <c r="C4" i="179"/>
  <c r="B4" i="179"/>
  <c r="A4" i="179"/>
  <c r="B4" i="185"/>
  <c r="B3" i="185"/>
  <c r="B2" i="185"/>
  <c r="H124" i="204"/>
  <c r="K58" i="184"/>
  <c r="L58" i="184" s="1"/>
  <c r="K57" i="184"/>
  <c r="K56" i="184"/>
  <c r="K55" i="184"/>
  <c r="K54" i="184"/>
  <c r="K53" i="184"/>
  <c r="K52" i="184"/>
  <c r="K51" i="184"/>
  <c r="K50" i="184"/>
  <c r="K49" i="184"/>
  <c r="K48" i="184"/>
  <c r="K47" i="184"/>
  <c r="K42" i="184"/>
  <c r="L42" i="184" s="1"/>
  <c r="K41" i="184"/>
  <c r="K40" i="184"/>
  <c r="K39" i="184"/>
  <c r="K38" i="184"/>
  <c r="K37" i="184"/>
  <c r="K36" i="184"/>
  <c r="K35" i="184"/>
  <c r="K20" i="184"/>
  <c r="K34" i="184"/>
  <c r="K33" i="184"/>
  <c r="K32" i="184"/>
  <c r="K31" i="184"/>
  <c r="K27" i="184"/>
  <c r="L27" i="184" s="1"/>
  <c r="K26" i="184"/>
  <c r="K25" i="184"/>
  <c r="K24" i="184"/>
  <c r="K23" i="184"/>
  <c r="K22" i="184"/>
  <c r="K21" i="184"/>
  <c r="K19" i="184"/>
  <c r="K18" i="184"/>
  <c r="K17" i="184"/>
  <c r="K16" i="184"/>
  <c r="L16" i="184"/>
  <c r="D3" i="185"/>
  <c r="D5" i="183"/>
  <c r="D4" i="185" s="1"/>
  <c r="D2" i="185"/>
  <c r="D6" i="183"/>
  <c r="I99" i="202"/>
  <c r="H36" i="202"/>
  <c r="I55" i="184"/>
  <c r="I52" i="184"/>
  <c r="I35" i="182" l="1"/>
  <c r="I34" i="182"/>
  <c r="I88" i="182"/>
  <c r="I90" i="182" s="1"/>
  <c r="B46" i="66"/>
  <c r="D46" i="66" s="1"/>
  <c r="I91" i="182"/>
  <c r="L55" i="184"/>
  <c r="O57" i="184"/>
  <c r="O56" i="184"/>
  <c r="O47" i="184"/>
  <c r="O48" i="184"/>
  <c r="O49" i="184"/>
  <c r="O50" i="184"/>
  <c r="O51" i="184"/>
  <c r="O52" i="184"/>
  <c r="O53" i="184"/>
  <c r="O54" i="184"/>
  <c r="O58" i="184"/>
  <c r="L52" i="184"/>
  <c r="L47" i="184"/>
  <c r="L39" i="184"/>
  <c r="M40" i="184"/>
  <c r="O40" i="184" s="1"/>
  <c r="M41" i="184"/>
  <c r="O41" i="184" s="1"/>
  <c r="O42" i="184"/>
  <c r="O37" i="184"/>
  <c r="O38" i="184"/>
  <c r="L36" i="184"/>
  <c r="O36" i="184"/>
  <c r="O33" i="184"/>
  <c r="O34" i="184"/>
  <c r="O35" i="184"/>
  <c r="O32" i="184"/>
  <c r="O31" i="184"/>
  <c r="L31" i="184"/>
  <c r="O27" i="184"/>
  <c r="M26" i="184"/>
  <c r="O26" i="184" s="1"/>
  <c r="M25" i="184"/>
  <c r="O25" i="184" s="1"/>
  <c r="O22" i="184"/>
  <c r="O23" i="184"/>
  <c r="O17" i="184"/>
  <c r="O18" i="184"/>
  <c r="O19" i="184"/>
  <c r="O20" i="184"/>
  <c r="O21" i="184"/>
  <c r="L24" i="184"/>
  <c r="L21" i="184"/>
  <c r="L59" i="184" l="1"/>
  <c r="L28" i="184"/>
  <c r="O55" i="184"/>
  <c r="O59" i="184" s="1"/>
  <c r="M39" i="184"/>
  <c r="O39" i="184" s="1"/>
  <c r="O43" i="184" s="1"/>
  <c r="O24" i="184"/>
  <c r="O28" i="184" s="1"/>
  <c r="P27" i="184" s="1"/>
  <c r="F3" i="185"/>
  <c r="E25" i="167"/>
  <c r="H56" i="204"/>
  <c r="H125" i="204"/>
  <c r="H126" i="204" s="1"/>
  <c r="I95" i="204"/>
  <c r="I99" i="204" s="1"/>
  <c r="H36" i="204"/>
  <c r="I23" i="204"/>
  <c r="H17" i="204"/>
  <c r="A2" i="204"/>
  <c r="H124" i="202"/>
  <c r="H125" i="202" s="1"/>
  <c r="H126" i="202" s="1"/>
  <c r="I95" i="202"/>
  <c r="I23" i="202"/>
  <c r="H17" i="202"/>
  <c r="H9" i="202"/>
  <c r="A2" i="202"/>
  <c r="H124" i="187"/>
  <c r="H125" i="187" s="1"/>
  <c r="H126" i="187" s="1"/>
  <c r="H17" i="187"/>
  <c r="I23" i="187"/>
  <c r="I55" i="187" s="1"/>
  <c r="A2" i="180"/>
  <c r="A4" i="177"/>
  <c r="H56" i="187"/>
  <c r="E39" i="184"/>
  <c r="E60" i="184"/>
  <c r="E59" i="184"/>
  <c r="E55" i="184"/>
  <c r="E52" i="184"/>
  <c r="E61" i="184"/>
  <c r="E44" i="184"/>
  <c r="E43" i="184"/>
  <c r="E36" i="184"/>
  <c r="E30" i="184"/>
  <c r="E29" i="184"/>
  <c r="E28" i="184"/>
  <c r="I59" i="182"/>
  <c r="I60" i="182"/>
  <c r="I61" i="182"/>
  <c r="I62" i="182"/>
  <c r="I50" i="182"/>
  <c r="I51" i="182"/>
  <c r="I63" i="182"/>
  <c r="I64" i="182"/>
  <c r="C38" i="66"/>
  <c r="E24" i="66"/>
  <c r="I95" i="187"/>
  <c r="I99" i="187" s="1"/>
  <c r="I55" i="204" l="1"/>
  <c r="I55" i="202"/>
  <c r="F4" i="185"/>
  <c r="F2" i="185"/>
  <c r="P57" i="184"/>
  <c r="P54" i="184"/>
  <c r="P51" i="184"/>
  <c r="P53" i="184"/>
  <c r="P56" i="184"/>
  <c r="P48" i="184"/>
  <c r="P50" i="184"/>
  <c r="P58" i="184"/>
  <c r="P49" i="184"/>
  <c r="P55" i="184"/>
  <c r="P38" i="184"/>
  <c r="P42" i="184"/>
  <c r="P39" i="184"/>
  <c r="P41" i="184"/>
  <c r="P40" i="184"/>
  <c r="P37" i="184"/>
  <c r="P31" i="184"/>
  <c r="P52" i="184"/>
  <c r="I65" i="182"/>
  <c r="I104" i="204"/>
  <c r="I104" i="202"/>
  <c r="I30" i="204"/>
  <c r="I79" i="204" s="1"/>
  <c r="I30" i="202"/>
  <c r="F24" i="66"/>
  <c r="G24" i="66" s="1"/>
  <c r="I30" i="187"/>
  <c r="I105" i="187" l="1"/>
  <c r="I131" i="187"/>
  <c r="I108" i="187"/>
  <c r="I77" i="187"/>
  <c r="I76" i="187"/>
  <c r="I75" i="187"/>
  <c r="I74" i="187"/>
  <c r="I73" i="187"/>
  <c r="I38" i="187"/>
  <c r="I131" i="202"/>
  <c r="I108" i="202"/>
  <c r="I79" i="202"/>
  <c r="I77" i="202"/>
  <c r="I76" i="202"/>
  <c r="I75" i="202"/>
  <c r="I74" i="202"/>
  <c r="I73" i="202"/>
  <c r="I78" i="202" s="1"/>
  <c r="P36" i="184"/>
  <c r="P35" i="184"/>
  <c r="P32" i="184"/>
  <c r="P33" i="184"/>
  <c r="P34" i="184"/>
  <c r="P17" i="184"/>
  <c r="P18" i="184"/>
  <c r="P19" i="184"/>
  <c r="P25" i="184"/>
  <c r="P21" i="184"/>
  <c r="P23" i="184"/>
  <c r="P22" i="184"/>
  <c r="P26" i="184"/>
  <c r="P20" i="184"/>
  <c r="P24" i="184"/>
  <c r="P47" i="184"/>
  <c r="P59" i="184" s="1"/>
  <c r="C40" i="66"/>
  <c r="F40" i="66" s="1"/>
  <c r="I104" i="187"/>
  <c r="I59" i="204"/>
  <c r="I62" i="204" s="1"/>
  <c r="I59" i="202"/>
  <c r="I131" i="204"/>
  <c r="I108" i="204"/>
  <c r="I77" i="204"/>
  <c r="I76" i="204"/>
  <c r="I75" i="204"/>
  <c r="I74" i="204"/>
  <c r="I73" i="204"/>
  <c r="I78" i="204" s="1"/>
  <c r="I38" i="204"/>
  <c r="I35" i="204"/>
  <c r="I34" i="204"/>
  <c r="I36" i="204" s="1"/>
  <c r="I38" i="202"/>
  <c r="I35" i="202"/>
  <c r="I34" i="202"/>
  <c r="I36" i="202" s="1"/>
  <c r="I35" i="187"/>
  <c r="I34" i="187"/>
  <c r="I59" i="187"/>
  <c r="I79" i="187"/>
  <c r="I78" i="187" l="1"/>
  <c r="I133" i="187" s="1"/>
  <c r="I62" i="187"/>
  <c r="I68" i="187" s="1"/>
  <c r="I36" i="187"/>
  <c r="I39" i="187" s="1"/>
  <c r="I40" i="187" s="1"/>
  <c r="I105" i="202"/>
  <c r="I62" i="202"/>
  <c r="I68" i="202" s="1"/>
  <c r="I66" i="187"/>
  <c r="I66" i="202"/>
  <c r="I39" i="202"/>
  <c r="I40" i="202"/>
  <c r="I68" i="204"/>
  <c r="I133" i="202"/>
  <c r="I110" i="202"/>
  <c r="I81" i="202"/>
  <c r="P43" i="184"/>
  <c r="P16" i="184"/>
  <c r="P28" i="184" s="1"/>
  <c r="I39" i="204"/>
  <c r="I66" i="204"/>
  <c r="I133" i="204"/>
  <c r="I110" i="204"/>
  <c r="I81" i="204"/>
  <c r="I81" i="187" l="1"/>
  <c r="I110" i="187"/>
  <c r="I40" i="204"/>
  <c r="I43" i="204" s="1"/>
  <c r="I44" i="187"/>
  <c r="I43" i="187"/>
  <c r="I50" i="187"/>
  <c r="I49" i="187"/>
  <c r="I48" i="187"/>
  <c r="I47" i="187"/>
  <c r="I46" i="187"/>
  <c r="I45" i="187"/>
  <c r="I50" i="202"/>
  <c r="I48" i="202"/>
  <c r="I47" i="202"/>
  <c r="I46" i="202"/>
  <c r="I45" i="202"/>
  <c r="I44" i="202"/>
  <c r="I43" i="202"/>
  <c r="I105" i="204"/>
  <c r="I106" i="202"/>
  <c r="I107" i="202" s="1"/>
  <c r="I106" i="187"/>
  <c r="I106" i="204"/>
  <c r="I50" i="204"/>
  <c r="I49" i="204"/>
  <c r="I48" i="204"/>
  <c r="I47" i="204"/>
  <c r="I46" i="204"/>
  <c r="I45" i="204"/>
  <c r="I44" i="204"/>
  <c r="I49" i="202"/>
  <c r="I107" i="187" l="1"/>
  <c r="I112" i="187" s="1"/>
  <c r="I107" i="204"/>
  <c r="I135" i="204" s="1"/>
  <c r="I51" i="202"/>
  <c r="I51" i="204"/>
  <c r="I80" i="204" s="1"/>
  <c r="I82" i="204" s="1"/>
  <c r="I51" i="187"/>
  <c r="I80" i="187" s="1"/>
  <c r="I135" i="202"/>
  <c r="I112" i="202"/>
  <c r="I67" i="204" l="1"/>
  <c r="I69" i="204" s="1"/>
  <c r="I112" i="204"/>
  <c r="I67" i="187"/>
  <c r="I69" i="187" s="1"/>
  <c r="I109" i="187" s="1"/>
  <c r="I82" i="187"/>
  <c r="I86" i="187" s="1"/>
  <c r="I67" i="202"/>
  <c r="I69" i="202" s="1"/>
  <c r="I80" i="202"/>
  <c r="I82" i="202" s="1"/>
  <c r="I135" i="187"/>
  <c r="I90" i="204"/>
  <c r="I89" i="204"/>
  <c r="I88" i="204"/>
  <c r="I87" i="204"/>
  <c r="I86" i="204"/>
  <c r="I132" i="204"/>
  <c r="I109" i="204"/>
  <c r="I92" i="204" l="1"/>
  <c r="I98" i="204" s="1"/>
  <c r="I100" i="204" s="1"/>
  <c r="I111" i="204" s="1"/>
  <c r="I113" i="204" s="1"/>
  <c r="I90" i="202"/>
  <c r="I89" i="202"/>
  <c r="I88" i="202"/>
  <c r="I87" i="202"/>
  <c r="I86" i="202"/>
  <c r="I132" i="202"/>
  <c r="I109" i="202"/>
  <c r="I90" i="187"/>
  <c r="I89" i="187"/>
  <c r="I88" i="187"/>
  <c r="I87" i="187"/>
  <c r="I132" i="187"/>
  <c r="I134" i="204"/>
  <c r="I136" i="204" s="1"/>
  <c r="I92" i="187" l="1"/>
  <c r="I98" i="187" s="1"/>
  <c r="I100" i="187" s="1"/>
  <c r="I134" i="187" s="1"/>
  <c r="I136" i="187" s="1"/>
  <c r="I92" i="202"/>
  <c r="I98" i="202" s="1"/>
  <c r="I100" i="202" s="1"/>
  <c r="I134" i="202" s="1"/>
  <c r="I136" i="202" s="1"/>
  <c r="I116" i="204"/>
  <c r="I111" i="187" l="1"/>
  <c r="I113" i="187" s="1"/>
  <c r="I111" i="202"/>
  <c r="I113" i="202" s="1"/>
  <c r="I116" i="187"/>
  <c r="I117" i="187" s="1"/>
  <c r="I117" i="204"/>
  <c r="I124" i="187" l="1"/>
  <c r="I116" i="202"/>
  <c r="I117" i="202" s="1"/>
  <c r="I120" i="187"/>
  <c r="I121" i="187"/>
  <c r="I124" i="204"/>
  <c r="I121" i="204"/>
  <c r="I120" i="204"/>
  <c r="I124" i="202" l="1"/>
  <c r="I126" i="187"/>
  <c r="I137" i="187" s="1"/>
  <c r="I138" i="187" s="1"/>
  <c r="B143" i="187" s="1"/>
  <c r="F148" i="187" s="1"/>
  <c r="F149" i="187" s="1"/>
  <c r="I121" i="202"/>
  <c r="I120" i="202"/>
  <c r="I126" i="204"/>
  <c r="I137" i="204" s="1"/>
  <c r="I138" i="204" s="1"/>
  <c r="B143" i="204" s="1"/>
  <c r="I126" i="202" l="1"/>
  <c r="I137" i="202" s="1"/>
  <c r="I138" i="202" s="1"/>
  <c r="B143" i="202" s="1"/>
  <c r="F149" i="202" s="1"/>
  <c r="F148" i="204"/>
  <c r="F149" i="204" s="1"/>
  <c r="F27" i="167"/>
  <c r="G27" i="167" s="1"/>
  <c r="H27" i="167" s="1"/>
  <c r="F26" i="167" l="1"/>
  <c r="G26" i="167" s="1"/>
  <c r="F47" i="184"/>
  <c r="E47" i="184" s="1"/>
  <c r="G3" i="185" l="1"/>
  <c r="H3" i="185" s="1"/>
  <c r="H26" i="167"/>
  <c r="F31" i="184"/>
  <c r="G47" i="184"/>
  <c r="Q60" i="184" s="1"/>
  <c r="C4" i="185" s="1"/>
  <c r="F25" i="167"/>
  <c r="E31" i="184" l="1"/>
  <c r="G31" i="184"/>
  <c r="Q44" i="184" s="1"/>
  <c r="C3" i="185" s="1"/>
  <c r="G25" i="167"/>
  <c r="G29" i="167" s="1"/>
  <c r="F16" i="184"/>
  <c r="G2" i="185"/>
  <c r="H2" i="185" s="1"/>
  <c r="G4" i="185"/>
  <c r="H4" i="185" s="1"/>
  <c r="H25" i="167" l="1"/>
  <c r="E16" i="184"/>
  <c r="G16" i="184"/>
  <c r="Q29" i="184" s="1"/>
  <c r="C2" i="185" s="1"/>
  <c r="B3" i="183"/>
  <c r="H29" i="167" l="1"/>
  <c r="C16" i="184"/>
  <c r="B4" i="183"/>
  <c r="C31" i="184"/>
  <c r="B5" i="183"/>
  <c r="C47" i="184"/>
  <c r="J126" i="187" l="1"/>
  <c r="L126" i="187" s="1"/>
  <c r="E2" i="185"/>
  <c r="I2" i="185" s="1"/>
  <c r="E3" i="185"/>
  <c r="I3" i="185" s="1"/>
  <c r="E4" i="185"/>
  <c r="I4" i="185" s="1"/>
</calcChain>
</file>

<file path=xl/sharedStrings.xml><?xml version="1.0" encoding="utf-8"?>
<sst xmlns="http://schemas.openxmlformats.org/spreadsheetml/2006/main" count="1172" uniqueCount="431">
  <si>
    <t xml:space="preserve"> MINISTÉRIO DA GESTÃO E DA INOVAÇÃO EM SERVIÇOS PÚBLICOS</t>
  </si>
  <si>
    <t xml:space="preserve"> SUPERINTENDÊNCIA REGIONAL DE ADMINISTRAÇÃO EM GOIÁS E TOCANTINS – SRA-GO/TO</t>
  </si>
  <si>
    <t>SEÇÃO DE LICITAÇÕES E CONTRATOS</t>
  </si>
  <si>
    <t>COMISSÃO PERMANENTE DE LICITAÇÃO - CPL</t>
  </si>
  <si>
    <t xml:space="preserve">           </t>
  </si>
  <si>
    <t xml:space="preserve"> MODELO DE PROPOSTA COMERCIAL / MODELO DE PLANILHA DE CUSTOS E FORMAÇÃO DE PREÇOS</t>
  </si>
  <si>
    <r>
      <rPr>
        <b/>
        <sz val="12"/>
        <color rgb="FF000000"/>
        <rFont val="Arial"/>
      </rPr>
      <t>Objeto:</t>
    </r>
    <r>
      <rPr>
        <sz val="12"/>
        <color rgb="FF000000"/>
        <rFont val="Arial"/>
      </rPr>
      <t xml:space="preserve"> </t>
    </r>
  </si>
  <si>
    <t>1. Razão Social da Empresa:</t>
  </si>
  <si>
    <r>
      <rPr>
        <b/>
        <sz val="10"/>
        <rFont val="Arial"/>
        <family val="2"/>
      </rPr>
      <t>2. CNPJ N</t>
    </r>
    <r>
      <rPr>
        <sz val="10"/>
        <rFont val="Arial"/>
        <family val="2"/>
      </rPr>
      <t xml:space="preserve">º </t>
    </r>
  </si>
  <si>
    <r>
      <rPr>
        <b/>
        <sz val="10"/>
        <rFont val="Arial"/>
        <family val="2"/>
      </rPr>
      <t>3. Inscrição Estadual: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</si>
  <si>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4. Inscrição Municipal: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</si>
  <si>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5. Endereço: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</si>
  <si>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6. Telefone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</si>
  <si>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7. Validade da proposta: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</si>
  <si>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 xml:space="preserve">8. Prazo de pagamento: </t>
    </r>
    <r>
      <rPr>
        <sz val="10"/>
        <rFont val="Arial"/>
        <family val="2"/>
      </rPr>
      <t>Conforme Edital</t>
    </r>
  </si>
  <si>
    <r>
      <rPr>
        <b/>
        <sz val="10"/>
        <rFont val="Arial"/>
        <family val="2"/>
      </rPr>
      <t>10. Representante da Empresa</t>
    </r>
    <r>
      <rPr>
        <sz val="10"/>
        <rFont val="Arial"/>
        <family val="2"/>
      </rPr>
      <t xml:space="preserve">: </t>
    </r>
  </si>
  <si>
    <t xml:space="preserve">11. Cargo: </t>
  </si>
  <si>
    <t>ITEM</t>
  </si>
  <si>
    <t>ABA</t>
  </si>
  <si>
    <t>Descrição</t>
  </si>
  <si>
    <t>Unidade</t>
  </si>
  <si>
    <t>Quant. Estimada de Funcionários em Função da Metragem</t>
  </si>
  <si>
    <t>Valor Mensal Estimado por Localidade</t>
  </si>
  <si>
    <t>Valor Mensal Total Estimado</t>
  </si>
  <si>
    <t>Valor Global  Estimado(contrato de 12 meses)</t>
  </si>
  <si>
    <r>
      <rPr>
        <sz val="10"/>
        <color rgb="FF000000"/>
        <rFont val="Arial"/>
      </rPr>
      <t xml:space="preserve">Posto de servente, de 44 (quarenta e quatro) horas semanais, diurnas de segunda-feira a sexta-feira, para a </t>
    </r>
    <r>
      <rPr>
        <b/>
        <sz val="10"/>
        <color rgb="FF000000"/>
        <rFont val="Arial"/>
      </rPr>
      <t>Superintendência Regional de Administração em Goiás e Tocantins</t>
    </r>
  </si>
  <si>
    <t>m²</t>
  </si>
  <si>
    <r>
      <rPr>
        <sz val="10"/>
        <color rgb="FF000000"/>
        <rFont val="Arial"/>
      </rPr>
      <t xml:space="preserve">Posto de servente, de 44 (quarenta e quatro) horas semanais, diurnas de segunda-feira a sexta-feira, para atender a </t>
    </r>
    <r>
      <rPr>
        <b/>
        <sz val="10"/>
        <color rgb="FF000000"/>
        <rFont val="Arial"/>
      </rPr>
      <t>Procuradoria da Fazenda Nacional em Goiás</t>
    </r>
  </si>
  <si>
    <r>
      <rPr>
        <sz val="10"/>
        <color rgb="FF000000"/>
        <rFont val="Arial"/>
      </rPr>
      <t xml:space="preserve">Posto de servente, de 44 (quarenta e quatro) horas semanais, diurnas de segunda-feira a sexta-feira, envolvendo, para atender a </t>
    </r>
    <r>
      <rPr>
        <b/>
        <sz val="10"/>
        <color rgb="FF000000"/>
        <rFont val="Arial"/>
      </rPr>
      <t>Superintendência do Patrimônio da União em Goiás</t>
    </r>
  </si>
  <si>
    <t>TOTAL POSTOS / SERVENTES</t>
  </si>
  <si>
    <t>Valor Estimado MENSAL / Valor Estimado ANUAL</t>
  </si>
  <si>
    <r>
      <t xml:space="preserve">13. </t>
    </r>
    <r>
      <rPr>
        <sz val="10"/>
        <rFont val="Arial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</si>
  <si>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r>
      <t xml:space="preserve">14. </t>
    </r>
    <r>
      <rPr>
        <sz val="10"/>
        <rFont val="Arial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</si>
  <si>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15. Declaramos que esta proposta considera em seu inteiro teor as determinações </t>
    </r>
    <r>
      <rPr>
        <sz val="10"/>
        <rFont val="Arial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</si>
  <si>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16. </t>
    </r>
    <r>
      <rPr>
        <sz val="10"/>
        <rFont val="Arial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</si>
  <si>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rPr>
        <b/>
        <sz val="10"/>
        <color rgb="FF000000"/>
        <rFont val="Arial"/>
      </rPr>
      <t xml:space="preserve">17. </t>
    </r>
    <r>
      <rPr>
        <sz val="10"/>
        <color rgb="FF000000"/>
        <rFont val="Arial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licitação.</t>
    </r>
  </si>
  <si>
    <t>Local e data,</t>
  </si>
  <si>
    <t>Assinatura do Representante Legal da Empres</t>
  </si>
  <si>
    <t>Razão Social da Empresa</t>
  </si>
  <si>
    <t>Legenda</t>
  </si>
  <si>
    <t>(I)</t>
  </si>
  <si>
    <t>Área (m2)</t>
  </si>
  <si>
    <t>Área em m² por tipo de área considerada</t>
  </si>
  <si>
    <t>(II)</t>
  </si>
  <si>
    <t>Índice de Periodicidade</t>
  </si>
  <si>
    <t>Periodicidade do Serviço por dia. Exemplo: Índice igual a 1; limpeza de uma vez por dia. Índice igual a 2; limpeza de duas vezes por dia. Índice igual a 0,2; limpeza de 20% da área por dia ou limpeza completa 1 vez a cada 5 dias.</t>
  </si>
  <si>
    <t>(III)</t>
  </si>
  <si>
    <t>Índice de Produtividade</t>
  </si>
  <si>
    <t>Parâmetro de Produtividade de Área a ser limpa em jornada diária, de acordo com a IN 5, 2017</t>
  </si>
  <si>
    <t>(IV)</t>
  </si>
  <si>
    <t>Quantidade Estimada de Serventes</t>
  </si>
  <si>
    <t>(V)</t>
  </si>
  <si>
    <t>% Custo por Área</t>
  </si>
  <si>
    <t>Resultado = Quantidade Estimada de Serventes para a limpeza da área considerada / Quantidade Total de Serventes para a limpeza da área total.</t>
  </si>
  <si>
    <t>(VI)</t>
  </si>
  <si>
    <t>Custo por m2</t>
  </si>
  <si>
    <t>Resultado = % Custo por Área * Custo Total Mensal / Área considerada</t>
  </si>
  <si>
    <t>(VII)</t>
  </si>
  <si>
    <t>Custo Médio por m2</t>
  </si>
  <si>
    <t>Resultado = Valor Total Mensal / Área Total</t>
  </si>
  <si>
    <t>Item</t>
  </si>
  <si>
    <t>Local</t>
  </si>
  <si>
    <t>Quantidade de Postos</t>
  </si>
  <si>
    <t>Posto Inteiro ou Meio Período?</t>
  </si>
  <si>
    <t>Valor Mensal do Posto</t>
  </si>
  <si>
    <t>Valor Total Mensal</t>
  </si>
  <si>
    <t xml:space="preserve">Tipo </t>
  </si>
  <si>
    <t>Subtipo de área (m²)</t>
  </si>
  <si>
    <t>Área (m²)</t>
  </si>
  <si>
    <t>Área total por tipo (m²)</t>
  </si>
  <si>
    <t>Custo por m²</t>
  </si>
  <si>
    <t/>
  </si>
  <si>
    <t>Área Interna</t>
  </si>
  <si>
    <t>Pisos frios</t>
  </si>
  <si>
    <t>Pisos acarpetados</t>
  </si>
  <si>
    <t>Áreas com espaços livres (saguão, hall etc).</t>
  </si>
  <si>
    <t>Banheiros</t>
  </si>
  <si>
    <t>Almoxarifados/galpões</t>
  </si>
  <si>
    <t>Área Externa</t>
  </si>
  <si>
    <t>Pisos pavimentados adjacentes/contíguos à edificação</t>
  </si>
  <si>
    <t>Varrição de passeios e arruamentos</t>
  </si>
  <si>
    <t>Pátios e áreas verdes</t>
  </si>
  <si>
    <t>Esquadrias Externas</t>
  </si>
  <si>
    <t>Face externa com exposição a risco</t>
  </si>
  <si>
    <t>Face externa sem exposição a risco</t>
  </si>
  <si>
    <t>Face interna</t>
  </si>
  <si>
    <t>Fachadas envidraçadas</t>
  </si>
  <si>
    <t>Fachada envidraçada</t>
  </si>
  <si>
    <t>Subtotal</t>
  </si>
  <si>
    <t>Custo Médio por m²</t>
  </si>
  <si>
    <t>*</t>
  </si>
  <si>
    <t>Imóvel/prédio</t>
  </si>
  <si>
    <t>Órgão/Setor</t>
  </si>
  <si>
    <t>Área Total</t>
  </si>
  <si>
    <t>Área Interna  (m²)</t>
  </si>
  <si>
    <t>Área Externa (m²)</t>
  </si>
  <si>
    <t>Esquadrias (m²)</t>
  </si>
  <si>
    <t>Fachada Envidraçada (m²)</t>
  </si>
  <si>
    <t>Piso Acarpetado</t>
  </si>
  <si>
    <t>Piso frio</t>
  </si>
  <si>
    <t>Almoxarifado</t>
  </si>
  <si>
    <t>Áreas com espaços livres (Saguão/Hall)</t>
  </si>
  <si>
    <t>Pisos pavimentados adjacentes/contíguos às edificações</t>
  </si>
  <si>
    <t>Pátios e áreas verdes com altas frequências</t>
  </si>
  <si>
    <t>Face externa com exposição a situação de risco</t>
  </si>
  <si>
    <t>Face externa sem exposição a situação de risco</t>
  </si>
  <si>
    <t>Face Interna</t>
  </si>
  <si>
    <t>SRA-GO-TO</t>
  </si>
  <si>
    <t>PFN/GO</t>
  </si>
  <si>
    <t>SPU/GO</t>
  </si>
  <si>
    <t>TOTAL</t>
  </si>
  <si>
    <t>Custo Local por Área</t>
  </si>
  <si>
    <t>Número de Postos</t>
  </si>
  <si>
    <t>Custo do Posto</t>
  </si>
  <si>
    <t>Custo do Local por Posto</t>
  </si>
  <si>
    <t>Checar Diferenças</t>
  </si>
  <si>
    <t>MATERIAL CONSUMO MENSAL ou quando solicitado pela Administração</t>
  </si>
  <si>
    <t>Unidade Medida</t>
  </si>
  <si>
    <t xml:space="preserve">Quantidade Estimada SPU/GO	
</t>
  </si>
  <si>
    <t xml:space="preserve">Quantidade Estimada PFN/GO	
</t>
  </si>
  <si>
    <t xml:space="preserve">Quantidade Estimada SRA-GO/TO	
</t>
  </si>
  <si>
    <t xml:space="preserve">Quantidade Estimada TOTAL
</t>
  </si>
  <si>
    <t>Valor UNITÁRIO ESTIMADO</t>
  </si>
  <si>
    <t xml:space="preserve">Valor Total Estimado do Item 
</t>
  </si>
  <si>
    <t>Água sanitária, à base de Cloro, teor cloro ativo variando de 2 a 2,5% (K-boa ou similar)</t>
  </si>
  <si>
    <t>Litro</t>
  </si>
  <si>
    <t>Álcool Etílico</t>
  </si>
  <si>
    <t>Álcool gel  - 70%</t>
  </si>
  <si>
    <t>Aromatizante concentrado - Limpador de Superfícies (Ajax, Veja ou similar)</t>
  </si>
  <si>
    <t>Desinfetante e germicida concentrado  líquido</t>
  </si>
  <si>
    <t>Detergente biodegradável líquido neutro concentrado (cozinha) (Limpol, Minuano ou similar)</t>
  </si>
  <si>
    <t>Desodorizador ambiental, aerossol, sem CFC, Essências suaves, Lata com 360 ml</t>
  </si>
  <si>
    <t>Detergente desencrustante alcalino para limpeza de gordura</t>
  </si>
  <si>
    <t>Escova de mão, base madeira ou plástico</t>
  </si>
  <si>
    <t>Lã de aço (Bombril, Assolan ou similar)</t>
  </si>
  <si>
    <t>Pacote c/ 8 unid.</t>
  </si>
  <si>
    <t>Esponja de fibra sintética dupla face (Scotch Brite ou similar)</t>
  </si>
  <si>
    <t>Flanela 40cmx50cm ou 40cmx60cm</t>
  </si>
  <si>
    <t>Limpador multiuso limpeza pesada, 500ml, 1ª qualidade (Veja ou similar)</t>
  </si>
  <si>
    <t>Limpa vidros, c/proteção contra mancha de chuva</t>
  </si>
  <si>
    <t>Limpa pedra</t>
  </si>
  <si>
    <t>Lustra móveis a base de silicone, repelente de umidade e poeira que permita um brilho seco. Embalagem com 200ml</t>
  </si>
  <si>
    <t>Luvas de látex natural – tamanho Médio</t>
  </si>
  <si>
    <t>Par</t>
  </si>
  <si>
    <t>Pano de Chão - saco de algodão alvejado 50cmx80cm (aproximado)</t>
  </si>
  <si>
    <t>Papel higiênico, folha dupla, picotado biodegradável, rolo 64X40 m 100% celulose virgem, branca, alto poder de absorção, classificação classe 1 – abnt nbr 15.464-7/2007 (duetto, qualité ou similar).</t>
  </si>
  <si>
    <t>Papel Higiênico, folha dupla, 100% celulose virgem, cor branca, premium, macio embalagem com 4 rolos com 30m x 10 cm cada.</t>
  </si>
  <si>
    <t>Pacote c/ 4 unid.</t>
  </si>
  <si>
    <t>Papel toalha entre folha branco de 1ª qualidade 100% celulose virgem, 20x21, 02 dobras, sem odor, gramatura mínima 24 g/m2 (nc papeis, selecto ou similar)</t>
  </si>
  <si>
    <t>Pacote com 1000 folhas</t>
  </si>
  <si>
    <t>Sabão em barra c/glicerina, 200 gramas</t>
  </si>
  <si>
    <t>Sabão em pó tipo detergente biodegradável</t>
  </si>
  <si>
    <t>Quilo</t>
  </si>
  <si>
    <t>Sabonete líquido concentrado, ph neutro, perolizado, glicerinado, concentrado, biodegradável</t>
  </si>
  <si>
    <t>Saco plástico preto 40 l c/100</t>
  </si>
  <si>
    <t>Fardo</t>
  </si>
  <si>
    <t>Saco plástico preto 60 l c/100</t>
  </si>
  <si>
    <t>Saco plástico preto 100 l c/100</t>
  </si>
  <si>
    <t>Saco plástico branco 60 l c/100</t>
  </si>
  <si>
    <t>Saco plástico branco 100 l c/100</t>
  </si>
  <si>
    <t>Soda cáustica</t>
  </si>
  <si>
    <t>Saponáceo em pó - 300 grs</t>
  </si>
  <si>
    <t>VALOR ANUAL ESTIMADO-MATERIAL</t>
  </si>
  <si>
    <t>VALOR MENSAL ESTIMADO-MATERIAL</t>
  </si>
  <si>
    <t>Equipamento/Utensílios - CONSUMO ANUAL ou quando solicitado pela Administração sem depreciação</t>
  </si>
  <si>
    <t xml:space="preserve">Quantidade Estimada </t>
  </si>
  <si>
    <t>Valor Estimado</t>
  </si>
  <si>
    <t>Escova para lavar vaso sanitário</t>
  </si>
  <si>
    <t>Balde material plástico reciclado, com alça de metal. 12 ou 15 litros</t>
  </si>
  <si>
    <t>Pá para lixo coletora com cabo longo</t>
  </si>
  <si>
    <t>Rodo de borracha dupla reforçado de 40 cm</t>
  </si>
  <si>
    <t>Rodo de borracha dupla reforçado de 60 cm</t>
  </si>
  <si>
    <t>Rodo de mão de 25 cm para limpeza de vidros (rodo dobrável)</t>
  </si>
  <si>
    <t>Desentupidor para sanitário</t>
  </si>
  <si>
    <t>Vassoura de Palha com Cabo</t>
  </si>
  <si>
    <t>Vassoura com cerdas de nylon</t>
  </si>
  <si>
    <t>Vassoura de teto, 2 metros</t>
  </si>
  <si>
    <t>Vassoura de pelo de 60 cm</t>
  </si>
  <si>
    <t>Mangueira com adaptadores para torneira (50m de comprimento) 3/4</t>
  </si>
  <si>
    <t>Mangueira (30m de comprimento) 3/4</t>
  </si>
  <si>
    <t>Equipamento/Utensílios - CONSUMO ANUAL ou quando solicitado pela Administração com depreciação</t>
  </si>
  <si>
    <t>Carrinho funcional completo – descrição aproximada: conjunto doblô-removível, balde, carro, haste, refil mop, placa de sinalização piso molhado, pá pop, conj. Mop Pó bolsa coleta de lixo, organizadores para acessórios organizadores para acessórios</t>
  </si>
  <si>
    <t>Extensão elétrica cabo mínimo 30 metros com tomada dupla</t>
  </si>
  <si>
    <t>Enceradeira industrial 350 mm com as escovas e demais acessórios e insumos necessários ao seu perfeito funcionamento - 220v e insumos necessários para seu perfeito funcionamento.</t>
  </si>
  <si>
    <t>Escada de alumínio tipo avalete c/ 7 degraus</t>
  </si>
  <si>
    <t>Lavadora de alta pressão - (MIN. DE 1600 PSI -  MIN. VAZÃO 400L/h - 220W)</t>
  </si>
  <si>
    <t>Placas sinalizadoras dobráveis e compactas (sendo 10 c/alerta p/ piso molhado escrito e 5 c/alerta banheiro fora de uso)</t>
  </si>
  <si>
    <t>10% DEPRECIAÇÃO</t>
  </si>
  <si>
    <t>VALOR TOTAL ANUAL ESTIMADO - EQUIPAMENTOS/UTENSÍLIOS + MATERIAL</t>
  </si>
  <si>
    <t>VALOR TOTAL MENSAL ESTIMADO - EQUIPAMENTOS/UTENSÍLIOS + MATERIAL</t>
  </si>
  <si>
    <t>FOI CONSIDERADO PADRÃO DE DEPRECIAÇÃO O ÍNDICE DE 10% anual, baseado na IN RFB 1700, de 14/03/2017</t>
  </si>
  <si>
    <t>Planilha de Levantamento de Preços - Uniforme - Servente</t>
  </si>
  <si>
    <t>Objeto</t>
  </si>
  <si>
    <t>Qtd</t>
  </si>
  <si>
    <t xml:space="preserve"> MEDIANA </t>
  </si>
  <si>
    <t xml:space="preserve"> Val. Unit. </t>
  </si>
  <si>
    <t xml:space="preserve"> Total </t>
  </si>
  <si>
    <t>SERVENTE</t>
  </si>
  <si>
    <t>Calça comprida cós alto, com elástico e cordão, tecido gabardine com elastano, cor preta.</t>
  </si>
  <si>
    <t>Camiseta malha fria, gola polo, de mangas curtas, com logotipo da empresa, no lado esquerdo, cor cinza.</t>
  </si>
  <si>
    <t>Meia em algodão, tipo soquete</t>
  </si>
  <si>
    <t>Botina de segurança, pelo leve, antiderrapante, forma alta, cano curto, três gomos, forro interno resistente à tração e rasgamento, em conformidade com a NR-32.</t>
  </si>
  <si>
    <t> </t>
  </si>
  <si>
    <t>TOTAL POR FUNCIONÁRIO</t>
  </si>
  <si>
    <t>1 KIT DE UNIFORME POR SEMESTRE + 2 KITS INICIAIS</t>
  </si>
  <si>
    <t>2 AO ANO (3 NO PRIMEIRO ANO)</t>
  </si>
  <si>
    <t>Valor por Servente</t>
  </si>
  <si>
    <t>Valor no mês</t>
  </si>
  <si>
    <t>OBSERVAÇÕES COM RELAÇÃO AOS UNIFORMES:</t>
  </si>
  <si>
    <t>1) As peças devem ser confeccionadas com tecido e material de qualidade;</t>
  </si>
  <si>
    <t>2) Todas as camisas deverão possuir a logomarca da empresa, no lado superior esquerdo;</t>
  </si>
  <si>
    <t>3) No caso de empregada gestante, os uniformes deverão ser apropriados para a situação, substituindo-os sempre que estiverem apertados;</t>
  </si>
  <si>
    <t>4) 02 (dois) conjuntos completos ao empregado no início da execução do contrato, devendo ser substituído 01 (um) conjunto completo de uniforme a cada 06 (seis) meses, ou a qualquer época, no prazo máximo de 48 (quarenta e oito) horas, após comunicação; escrita da CONTRATANTE, sempre que não atendam as condições mínimas de apresentação.</t>
  </si>
  <si>
    <t>Secretaria de Gestão Corporativa</t>
  </si>
  <si>
    <t>Superintendência Regional de Administração nos Estados de Goiás e Tocantins</t>
  </si>
  <si>
    <t xml:space="preserve"> Seção de Licitações e Contratos</t>
  </si>
  <si>
    <t>APROPRIAÇÃO DE DESPESAS</t>
  </si>
  <si>
    <t>1 - APROPRIAÇÃO DE SALÁRIO BASE POR CATEGORIA PROFISSIONAL</t>
  </si>
  <si>
    <t>1 - PROFISSIONAL DE LIMPEZA</t>
  </si>
  <si>
    <t xml:space="preserve">PROFISSIONAL </t>
  </si>
  <si>
    <t>REMUNERAÇÃO</t>
  </si>
  <si>
    <t>Servente 44h semanais</t>
  </si>
  <si>
    <t>2 - APROPRIAÇÃO DO VALE ALIMENTAÇÃO</t>
  </si>
  <si>
    <t>2.1 - COMPOSIÇÃO DO VALOR DO VALE ALIMENTAÇÃO</t>
  </si>
  <si>
    <t>VALOR UNIT.</t>
  </si>
  <si>
    <t>Nº DIAS/ MÊS</t>
  </si>
  <si>
    <t>TOTAL/MÊS</t>
  </si>
  <si>
    <t xml:space="preserve">DESCONTO (11%) Cláusula Décima Terceira GO000832/2023 </t>
  </si>
  <si>
    <t>LÍQUIDO</t>
  </si>
  <si>
    <t>SERVENTE 44h</t>
  </si>
  <si>
    <t>3 - APROPRIAÇÃO DE MATERIAL, EQUIPAMENTOS E UNIFORMES</t>
  </si>
  <si>
    <t xml:space="preserve">3.1 - MATERIAIS/MÊS </t>
  </si>
  <si>
    <t>3.1.1 - Materiais/mês por servente</t>
  </si>
  <si>
    <t>VALORES TOTAIS</t>
  </si>
  <si>
    <t>FUNC.</t>
  </si>
  <si>
    <r>
      <rPr>
        <b/>
        <sz val="10"/>
        <color rgb="FF000000"/>
        <rFont val="Arial"/>
      </rPr>
      <t xml:space="preserve"> Posto de </t>
    </r>
    <r>
      <rPr>
        <b/>
        <sz val="10"/>
        <rFont val="Arial"/>
        <family val="2"/>
      </rPr>
      <t>44h</t>
    </r>
  </si>
  <si>
    <t>3.2 - EQUIPAMENTOS/MÊS</t>
  </si>
  <si>
    <t>3.2.1 - Equipamentos/mês por servente</t>
  </si>
  <si>
    <t>Posto de 44h</t>
  </si>
  <si>
    <t>3.3 - UNIFORME - SERVENTE/MÊS</t>
  </si>
  <si>
    <t>Quantidade kits/ano</t>
  </si>
  <si>
    <t>APROPRIAÇÃO / MÊS</t>
  </si>
  <si>
    <t>* No segundo ano em diante, altera-se para 2 kits.</t>
  </si>
  <si>
    <t>Nº Processo nº 10180.100793/2023-43</t>
  </si>
  <si>
    <t>PROCESSO</t>
  </si>
  <si>
    <t xml:space="preserve">GO000832/2023 </t>
  </si>
  <si>
    <t>CONVENÇÃO COLETIVA DE TRABALHO 2024/2025 (Goiânia)</t>
  </si>
  <si>
    <t>1º de janeiro</t>
  </si>
  <si>
    <t>DATA BASE</t>
  </si>
  <si>
    <t>Município</t>
  </si>
  <si>
    <t>Alíquota %</t>
  </si>
  <si>
    <t>Endereços</t>
  </si>
  <si>
    <t xml:space="preserve">Nome </t>
  </si>
  <si>
    <t>Endereço</t>
  </si>
  <si>
    <t xml:space="preserve">Bairro </t>
  </si>
  <si>
    <t xml:space="preserve">Contato </t>
  </si>
  <si>
    <t>Email</t>
  </si>
  <si>
    <t>Superintendência Regional de Administração em Goiás e Tocantins</t>
  </si>
  <si>
    <t>Nona Avenida, Quadra A 34, LT. 01/11, Bairro Leste Universitário - Goiânia - GO - CEP: 74.603-010</t>
  </si>
  <si>
    <t>Setor Leste Universitário</t>
  </si>
  <si>
    <t>Goiânia/GO</t>
  </si>
  <si>
    <t>(62) 3416-0827/0801</t>
  </si>
  <si>
    <t>selic.go.sra@gestao.gov.br</t>
  </si>
  <si>
    <t>Procuradoria da Fazenda Nacional em Goiás</t>
  </si>
  <si>
    <t>Av. B (Av. Profºr. Alfredo de Castro), esquina com Rua 05, quadra B-O, lote 07, nº 178 - Setor Oeste, Goiânia - GO - CEP: 74.110-030</t>
  </si>
  <si>
    <t>Setor Oeste</t>
  </si>
  <si>
    <t>(62) 3901-4200</t>
  </si>
  <si>
    <t>apoio.go.pfn@pgfn.gov.br</t>
  </si>
  <si>
    <t>Superintendência do Patrimônio da União em Goiás</t>
  </si>
  <si>
    <t>Rua 06. quadra F-04, Lote 38/40, nº 483 - Setor Oeste - Goiânia - GO - CEP: 74.115-070</t>
  </si>
  <si>
    <t xml:space="preserve">
(62)3901-4338/4359/4353</t>
  </si>
  <si>
    <t>protocolospugo@economia.gov.br</t>
  </si>
  <si>
    <t>ENDEREÇOS DAS UNIDADES</t>
  </si>
  <si>
    <t>VALOR DA PASSAGEM NO MUNICÍPIO</t>
  </si>
  <si>
    <r>
      <rPr>
        <b/>
        <sz val="10"/>
        <rFont val="Arial"/>
        <family val="2"/>
      </rPr>
      <t xml:space="preserve">PLANILHA DE CUSTOS E FORMAÇÃO DE PREÇOS - </t>
    </r>
    <r>
      <rPr>
        <sz val="10"/>
        <rFont val="Arial"/>
        <family val="2"/>
      </rPr>
      <t xml:space="preserve">(Redação dada pela Instrução Normativa nº 05, de 25 de maio de 2017, com modificações pertinentes  trazidas pela Instrução Normativa nº 07/2018).
</t>
    </r>
  </si>
  <si>
    <t>Pregão eletrônico nº ____/2024</t>
  </si>
  <si>
    <t>Discriminação dos Serviços (dados referentes à contratação)</t>
  </si>
  <si>
    <t>A</t>
  </si>
  <si>
    <t>Data de apresentação da proposta (dia/mês/ano)</t>
  </si>
  <si>
    <t>XX/XX/2024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</si>
  <si>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</si>
  <si>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</si>
  <si>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</si>
  <si>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</si>
  <si>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</si>
  <si>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</si>
  <si>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</si>
  <si>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ANEXO VII-D – Mão-de-obra</t>
  </si>
  <si>
    <t>Dados complementares para composição dos custos referente à mão de obra</t>
  </si>
  <si>
    <t>Tipo de serviço (mesmo serviço com características distintas)</t>
  </si>
  <si>
    <r>
      <rPr>
        <sz val="10"/>
        <color rgb="FF000000"/>
        <rFont val="Arial"/>
      </rPr>
      <t xml:space="preserve">SERVIÇO DE LIMPEZA E CONSERVAÇÃO - </t>
    </r>
    <r>
      <rPr>
        <b/>
        <sz val="10"/>
        <color rgb="FF000000"/>
        <rFont val="Arial"/>
      </rPr>
      <t>SERVENTE - 44h</t>
    </r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</si>
  <si>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</si>
  <si>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</si>
  <si>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</si>
  <si>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</si>
  <si>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Servente</t>
  </si>
  <si>
    <t xml:space="preserve">Data base da categoria </t>
  </si>
  <si>
    <t>MÓDULO 1: COMPOSIÇÃO DA REMUNERAÇÃO</t>
  </si>
  <si>
    <t>Composição da remuneração</t>
  </si>
  <si>
    <t>Percentual (%)</t>
  </si>
  <si>
    <t>Valor (R$)</t>
  </si>
  <si>
    <t xml:space="preserve">Salário-base </t>
  </si>
  <si>
    <t>Gratificação de Função</t>
  </si>
  <si>
    <r>
      <rPr>
        <sz val="10"/>
        <color rgb="FF000000"/>
        <rFont val="Arial"/>
      </rPr>
      <t xml:space="preserve">Adicional de periculosidade </t>
    </r>
    <r>
      <rPr>
        <i/>
        <sz val="10"/>
        <color rgb="FFFF0000"/>
        <rFont val="Arial"/>
      </rPr>
      <t>salário-base*30%</t>
    </r>
  </si>
  <si>
    <t>Adicional de insalubridade</t>
  </si>
  <si>
    <t>Adicional noturno</t>
  </si>
  <si>
    <t>E</t>
  </si>
  <si>
    <t>Adicional de hora noturna reduzida</t>
  </si>
  <si>
    <t>F</t>
  </si>
  <si>
    <t xml:space="preserve">Outros: </t>
  </si>
  <si>
    <t>Nota 1: O Módulo 1 refere-se ao valor mensal devido ao empregado pela prestação do serviço no período de 12 meses.</t>
  </si>
  <si>
    <t>MÓDULO 2 : ENCARGOS E BENEFÍCIOS ANUAIS, MENSAIS E DIÁRIOS</t>
  </si>
  <si>
    <t>2.1</t>
  </si>
  <si>
    <t>13º (décimo terceiro) salário, férias e adicional de férias</t>
  </si>
  <si>
    <t xml:space="preserve">Percentual </t>
  </si>
  <si>
    <r>
      <rPr>
        <sz val="10"/>
        <color rgb="FF000000"/>
        <rFont val="Arial"/>
      </rPr>
      <t xml:space="preserve">13º salário </t>
    </r>
    <r>
      <rPr>
        <i/>
        <sz val="10"/>
        <color rgb="FFFF0000"/>
        <rFont val="Arial"/>
      </rPr>
      <t>Obrigatória a cotação de 8,33% sobre o valor do Módulo 1 – Composição da Remuneração, conforme Anexo XII da IN 5/17</t>
    </r>
    <r>
      <rPr>
        <sz val="10"/>
        <color rgb="FF000000"/>
        <rFont val="Arial"/>
      </rPr>
      <t xml:space="preserve">  </t>
    </r>
  </si>
  <si>
    <t xml:space="preserve">C </t>
  </si>
  <si>
    <r>
      <rPr>
        <sz val="10"/>
        <color rgb="FF000000"/>
        <rFont val="Arial"/>
      </rPr>
      <t>Adicional de Férias -</t>
    </r>
    <r>
      <rPr>
        <sz val="10"/>
        <color rgb="FFFF0000"/>
        <rFont val="Arial"/>
      </rPr>
      <t xml:space="preserve"> </t>
    </r>
    <r>
      <rPr>
        <i/>
        <sz val="10"/>
        <color rgb="FFFF0000"/>
        <rFont val="Arial"/>
      </rPr>
      <t>Obrigatória a cotação de 3,025% sobre o valor do Módulo 1 – Composição da Remuneração, conforme Anexo XII da IN 5/17 (Férias + Adicional = 9,075% + 3,025% = 12,10%)</t>
    </r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</si>
  <si>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
Nota 2: O adicional de férias contido no Submódulo 2.1 corresponde a 1/3 (um terço) da remuneração que por sua vez é divido por 12 (doze) conforme Nota 1 acima.
Nota 3: Levando em consideração a vigência contratual prevista,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</si>
  <si>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BASE DE CÁLCULO PARA O MÓDULO 2.2</t>
  </si>
  <si>
    <t>MÓDULO 1</t>
  </si>
  <si>
    <t>MÓDULO 2.1</t>
  </si>
  <si>
    <t>SUBMÓDULO 2.2 - ENCARGOS PREVIDENCIÁRIOS (GPS), FUNDO DE GARANTIA POR TEMPO DE
 SERVIÇO E OUTRAS CONTRIBUIÇÕES</t>
  </si>
  <si>
    <t>2.2</t>
  </si>
  <si>
    <t>GPS, FGTS e Outras Contribuições</t>
  </si>
  <si>
    <r>
      <rPr>
        <sz val="10"/>
        <color rgb="FF000000"/>
        <rFont val="Arial"/>
      </rPr>
      <t xml:space="preserve">INSS </t>
    </r>
    <r>
      <rPr>
        <i/>
        <sz val="10"/>
        <color rgb="FFFF0000"/>
        <rFont val="Arial"/>
      </rPr>
      <t>(Módulo1 + SubMódulo 2.1)*Alíquota</t>
    </r>
  </si>
  <si>
    <r>
      <rPr>
        <sz val="10"/>
        <color rgb="FF000000"/>
        <rFont val="Arial"/>
      </rPr>
      <t xml:space="preserve">Salário educação </t>
    </r>
    <r>
      <rPr>
        <i/>
        <sz val="10"/>
        <color rgb="FFFF0000"/>
        <rFont val="Arial"/>
      </rPr>
      <t>(Módulo1 + SubMódulo 2.1)*Alíquota</t>
    </r>
  </si>
  <si>
    <r>
      <rPr>
        <sz val="10"/>
        <color rgb="FF000000"/>
        <rFont val="Arial"/>
      </rPr>
      <t xml:space="preserve">SAT </t>
    </r>
    <r>
      <rPr>
        <i/>
        <sz val="10"/>
        <color rgb="FFFF0000"/>
        <rFont val="Arial"/>
      </rPr>
      <t>(SAT=RATxFAP) (Módulo1 + SubMódulo 2.1)*Alíquota</t>
    </r>
  </si>
  <si>
    <t>RAT:</t>
  </si>
  <si>
    <t>FAP:</t>
  </si>
  <si>
    <r>
      <rPr>
        <sz val="10"/>
        <color rgb="FF000000"/>
        <rFont val="Arial"/>
      </rPr>
      <t xml:space="preserve">SESC ou SESI </t>
    </r>
    <r>
      <rPr>
        <i/>
        <sz val="10"/>
        <color rgb="FFFF0000"/>
        <rFont val="Arial"/>
      </rPr>
      <t>(Módulo1 + SubMódulo 2.1)*Alíquota</t>
    </r>
  </si>
  <si>
    <r>
      <rPr>
        <sz val="10"/>
        <color rgb="FF000000"/>
        <rFont val="Arial"/>
      </rPr>
      <t xml:space="preserve">SENAI ou SENAC </t>
    </r>
    <r>
      <rPr>
        <i/>
        <sz val="10"/>
        <color rgb="FFFF0000"/>
        <rFont val="Arial"/>
      </rPr>
      <t>(Módulo1 + SubMódulo 2.1)*Alíquota</t>
    </r>
  </si>
  <si>
    <r>
      <rPr>
        <sz val="10"/>
        <color rgb="FF000000"/>
        <rFont val="Arial"/>
      </rPr>
      <t xml:space="preserve">SEBRAE </t>
    </r>
    <r>
      <rPr>
        <i/>
        <sz val="10"/>
        <color rgb="FFFF0000"/>
        <rFont val="Arial"/>
      </rPr>
      <t>(Módulo1 + SubMódulo 2.1)*Alíquota</t>
    </r>
  </si>
  <si>
    <t>G</t>
  </si>
  <si>
    <r>
      <rPr>
        <sz val="10"/>
        <color rgb="FF000000"/>
        <rFont val="Arial"/>
      </rPr>
      <t xml:space="preserve">INCRA </t>
    </r>
    <r>
      <rPr>
        <i/>
        <sz val="10"/>
        <color rgb="FFFF0000"/>
        <rFont val="Arial"/>
      </rPr>
      <t>(Módulo1 + SubMódulo 2.1)*Alíquota</t>
    </r>
  </si>
  <si>
    <t>I</t>
  </si>
  <si>
    <t>FGTS</t>
  </si>
  <si>
    <t>Total</t>
  </si>
  <si>
    <t>Nota 1: Os percentuais dos encargos previdenciários, do FGTS e demais contribuições são aqueles estabelecidos pela legislação vigente.
Nota 2: O SAT a depender do grau de risco do serviço irá variar entre 1%, para risco leve, de 2%, para risco médio, e de 3% de risco grave.
Nota 3: Esses percentuais incidem sobre o Módulo 1, o Submódulo 2.1. (Redação dada pela Instrução Normativa nº 7, de 2018)</t>
  </si>
  <si>
    <t>SUBMÓDULO 2.3 - BENEFÍCIOS MENSAIS E DIÁRIOS</t>
  </si>
  <si>
    <t>2.3</t>
  </si>
  <si>
    <t>Benefícios mensais e diários</t>
  </si>
  <si>
    <t>Custo Efetivo Vale Transporte</t>
  </si>
  <si>
    <t>A.1) Valor da passagem do transporte coletivo no município de prestação dos serviços:</t>
  </si>
  <si>
    <t>-</t>
  </si>
  <si>
    <t>A.2) Quantidade de passagens por mês por empregado:</t>
  </si>
  <si>
    <t>A.3) Percentual do desconto no Salário Base:</t>
  </si>
  <si>
    <r>
      <rPr>
        <sz val="10"/>
        <color rgb="FF000000"/>
        <rFont val="Arial"/>
      </rPr>
      <t>Custo Efetivo do Auxílio-Refeição/Alimentação</t>
    </r>
    <r>
      <rPr>
        <sz val="10"/>
        <color rgb="FFFF0000"/>
        <rFont val="Arial"/>
      </rPr>
      <t xml:space="preserve"> (Cláusula Décima Terceira da GO000832/2023)</t>
    </r>
  </si>
  <si>
    <r>
      <rPr>
        <sz val="10"/>
        <color rgb="FF000000"/>
        <rFont val="Arial"/>
      </rPr>
      <t xml:space="preserve">IAFAS </t>
    </r>
    <r>
      <rPr>
        <sz val="10"/>
        <color rgb="FFFF0000"/>
        <rFont val="Arial"/>
      </rPr>
      <t>(Cláusula Décima Oitava da GO000832/2023)</t>
    </r>
  </si>
  <si>
    <r>
      <rPr>
        <sz val="10"/>
        <color rgb="FF000000"/>
        <rFont val="Arial"/>
      </rPr>
      <t xml:space="preserve">Seguro de Vida </t>
    </r>
    <r>
      <rPr>
        <sz val="10"/>
        <color rgb="FFFF0000"/>
        <rFont val="Arial"/>
      </rPr>
      <t>(Cláusula Décima Sétima da GO000832/2023)</t>
    </r>
  </si>
  <si>
    <t>Nota 1: O valor informado deverá ser o custo real do benefício (descontado o valor eventualmente pago pelo empregado).
Nota 2: Observar a previsão dos benefícios contidos em Acordos, Convenções e Dissídios Coletivos de Trabalho e atentar-se ao disposto no art. 6º desta Instrução Normativa.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</si>
  <si>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</si>
  <si>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</si>
  <si>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</si>
  <si>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Provisão para recisão</t>
  </si>
  <si>
    <t>Percentual/Prov. Mensal</t>
  </si>
  <si>
    <r>
      <rPr>
        <sz val="10"/>
        <color rgb="FF000000"/>
        <rFont val="Arial"/>
      </rPr>
      <t xml:space="preserve">Aviso prévio indenizado </t>
    </r>
    <r>
      <rPr>
        <i/>
        <sz val="10"/>
        <color rgb="FFFF0000"/>
        <rFont val="Arial"/>
      </rPr>
      <t xml:space="preserve">(Acórdão TCU nº 1.904/2007) 1/12*5,55%=0,46%  (Módulo 1*0,46%) </t>
    </r>
    <r>
      <rPr>
        <sz val="10"/>
        <color rgb="FF000000"/>
        <rFont val="Arial"/>
      </rPr>
      <t xml:space="preserve">       </t>
    </r>
  </si>
  <si>
    <r>
      <rPr>
        <sz val="10"/>
        <color rgb="FF000000"/>
        <rFont val="Arial"/>
      </rPr>
      <t xml:space="preserve">Incidência do FGTS sobre o aviso-prévio indenizado </t>
    </r>
    <r>
      <rPr>
        <i/>
        <sz val="10"/>
        <color rgb="FFFF0000"/>
        <rFont val="Arial"/>
      </rPr>
      <t>8%*0,46%=0,04%  (Módulo 1*0,04%)</t>
    </r>
  </si>
  <si>
    <r>
      <rPr>
        <sz val="10"/>
        <color rgb="FF000000"/>
        <rFont val="Arial"/>
      </rPr>
      <t xml:space="preserve">Aviso prévio trabalhado </t>
    </r>
    <r>
      <rPr>
        <i/>
        <sz val="10"/>
        <color rgb="FFFF0000"/>
        <rFont val="Arial"/>
      </rPr>
      <t xml:space="preserve"> (Acórdão TCU Plenário nº 1186/2017)     [(1/ 30) x 7]/12=1,94%      (Módulo 1*1,94%)</t>
    </r>
  </si>
  <si>
    <r>
      <rPr>
        <sz val="10"/>
        <color rgb="FF000000"/>
        <rFont val="Arial"/>
      </rPr>
      <t xml:space="preserve">Incidência de GPS, FGTS e outras contribuições sobre o Aviso Prévio Trabalhado </t>
    </r>
    <r>
      <rPr>
        <i/>
        <sz val="10"/>
        <color rgb="FFFF0000"/>
        <rFont val="Arial"/>
      </rPr>
      <t xml:space="preserve">(36,80%*1,94%)=0,71% (Módulo 1*0,71%) </t>
    </r>
  </si>
  <si>
    <r>
      <rPr>
        <sz val="10"/>
        <color rgb="FF000000"/>
        <rFont val="Arial"/>
      </rPr>
      <t xml:space="preserve">Multa do FGTS sobre o Aviso Prévio Trabalhado e sobre o Aviso Prévio Indenizado     </t>
    </r>
    <r>
      <rPr>
        <i/>
        <sz val="10"/>
        <color rgb="FFFF0000"/>
        <rFont val="Arial"/>
      </rPr>
      <t>Obrigatória a cotação de 4% sobre o valor do Módulo 1 – Composição da Remuneração, conforme Anexo XII da IN Seges nº 5/2017, considerada a alteração do art. 1º Lei 13.932/19, que exclui 10% da Contribuição Social</t>
    </r>
  </si>
  <si>
    <r>
      <rPr>
        <b/>
        <sz val="10"/>
        <color rgb="FF000000"/>
        <rFont val="Arial"/>
      </rPr>
      <t xml:space="preserve">BASE DE CÁLCULO PARA O MÓDULO 4 = MÓDULO 1 + MÓDULO 2 </t>
    </r>
    <r>
      <rPr>
        <sz val="10"/>
        <color rgb="FF000000"/>
        <rFont val="Arial"/>
      </rPr>
      <t>(exceto Transporte e Auxílio-Alimentação)</t>
    </r>
    <r>
      <rPr>
        <b/>
        <sz val="10"/>
        <color rgb="FF000000"/>
        <rFont val="Arial"/>
      </rPr>
      <t xml:space="preserve"> + MÓDULO 3</t>
    </r>
  </si>
  <si>
    <r>
      <rPr>
        <b/>
        <sz val="10"/>
        <color rgb="FF000000"/>
        <rFont val="Arial"/>
      </rPr>
      <t xml:space="preserve">MÓDULO 2 </t>
    </r>
    <r>
      <rPr>
        <sz val="10"/>
        <color rgb="FF000000"/>
        <rFont val="Arial"/>
      </rPr>
      <t>(exceto Transporte e Auxílio-Alimentação)</t>
    </r>
  </si>
  <si>
    <t>MÓDULO 3</t>
  </si>
  <si>
    <t>MÓDULO 4 - CUSTO DE REPOSIÇÃO DO PROFISSIONAL AUSENTE</t>
  </si>
  <si>
    <r>
      <rPr>
        <sz val="10"/>
        <color rgb="FF000000"/>
        <rFont val="Arial"/>
      </rPr>
      <t xml:space="preserve"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FF0000"/>
        <rFont val="Arial"/>
      </rPr>
      <t xml:space="preserve">Os percentuais de referência das linhas B a E abaixo foram extraídos da Nota Técnica nº 2/2018/CGAC/CISET/SG-PR, da Secretaria-Geral da Presidência da República.   </t>
    </r>
    <r>
      <rPr>
        <sz val="10"/>
        <color rgb="FF000000"/>
        <rFont val="Arial"/>
      </rPr>
      <t xml:space="preserve"> </t>
    </r>
  </si>
  <si>
    <t>4.1</t>
  </si>
  <si>
    <t>Ausências Legais</t>
  </si>
  <si>
    <r>
      <rPr>
        <sz val="10"/>
        <color rgb="FF000000"/>
        <rFont val="Arial"/>
      </rPr>
      <t xml:space="preserve">Substituto na cobertura de Férias </t>
    </r>
    <r>
      <rPr>
        <i/>
        <sz val="10"/>
        <color rgb="FFFF0000"/>
        <rFont val="Arial"/>
      </rPr>
      <t>[9,075%*(Módulo 1 + Submódulo 2.1 + Submódulo 2.2 + Submódulo 2.3 (exceto Transporte e Auxílio-alimentação) + Módulo 3)]</t>
    </r>
  </si>
  <si>
    <r>
      <rPr>
        <sz val="10"/>
        <color rgb="FF000000"/>
        <rFont val="Arial"/>
      </rPr>
      <t xml:space="preserve">Substituto na cobertura de Ausências Legais </t>
    </r>
    <r>
      <rPr>
        <i/>
        <sz val="10"/>
        <color rgb="FFFF0000"/>
        <rFont val="Arial"/>
      </rPr>
      <t>(5,96/365 dias)*100 = 1,63%  [1,63%*(Módulo 1 + Submódulo 2.1 + Submódulo 2.2 + Submódulo 2.3 (exceto Transporte e Auxílio-alimentação) + Módulo 3)]</t>
    </r>
  </si>
  <si>
    <r>
      <rPr>
        <sz val="10"/>
        <color rgb="FF000000"/>
        <rFont val="Arial"/>
      </rPr>
      <t xml:space="preserve">Substituto na cobertura de Licença-paternidade </t>
    </r>
    <r>
      <rPr>
        <i/>
        <sz val="10"/>
        <color rgb="FFFF0000"/>
        <rFont val="Arial"/>
      </rPr>
      <t>[(5/30)/12]*0,015*100 = 0,02%   [0,02%*(Módulo 1 + Submódulo 2.1 + Submódulo 2.2 + Submódulo 2.3 (exceto Transporte e Auxílio-alimentação) + Módulo 3)]</t>
    </r>
  </si>
  <si>
    <r>
      <rPr>
        <sz val="10"/>
        <color rgb="FF000000"/>
        <rFont val="Arial"/>
      </rPr>
      <t xml:space="preserve">Substitiuto na Ausência por acidente de trabalho </t>
    </r>
    <r>
      <rPr>
        <i/>
        <sz val="10"/>
        <color rgb="FFFF0000"/>
        <rFont val="Arial"/>
      </rPr>
      <t>[(15/30)/12]*0,08*100 = 0,33%  [0,33%*(Módulo 1 + Submódulo 2.1 + Submódulo 2.2 + Submódulo 2.3 (exceto Transporte e Auxílio-alimentação) + Módulo 3)]</t>
    </r>
  </si>
  <si>
    <r>
      <rPr>
        <sz val="10"/>
        <color rgb="FF000000"/>
        <rFont val="Arial"/>
      </rPr>
      <t xml:space="preserve">Substituto no Afastamento Maternidade </t>
    </r>
    <r>
      <rPr>
        <i/>
        <sz val="10"/>
        <color rgb="FFFF0000"/>
        <rFont val="Arial"/>
      </rPr>
      <t xml:space="preserve"> [0,02*(4/12)/12*100] = 0,055%  [0,055%*(Módulo 1 + Submódulo 2.1 + Submódulo 2.2 + Submódulo 2.3 (exceto Transporte e Auxílio-alimentação) + Módulo 3)]</t>
    </r>
  </si>
  <si>
    <t>Outros (especificar)</t>
  </si>
  <si>
    <t>0,00
%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</si>
  <si>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</si>
  <si>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</si>
  <si>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</si>
  <si>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</si>
  <si>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</si>
  <si>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</si>
  <si>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</si>
  <si>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</si>
  <si>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</si>
  <si>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indexed="10"/>
        <rFont val="Arial"/>
        <family val="2"/>
        <charset val="1"/>
      </rPr>
      <t/>
    </r>
  </si>
  <si>
    <t>BASE DE CÁLCULO PARA O MÓDULO 6 = MÓDULO 1 + MÓDULO 2 = MÓDULO 3
 + MÓDULO 4 + MÓDULO 5</t>
  </si>
  <si>
    <t>MÓDULO 2</t>
  </si>
  <si>
    <t>MÓDULO 4</t>
  </si>
  <si>
    <t>MÓDULO 5</t>
  </si>
  <si>
    <t>MÓDULO 6 - CUSTOS INDIRETOS, TRIBUTOS E LUCRO</t>
  </si>
  <si>
    <t>Custos indiretos, tributos e lucro</t>
  </si>
  <si>
    <r>
      <rPr>
        <sz val="10"/>
        <color rgb="FF000000"/>
        <rFont val="Arial"/>
      </rPr>
      <t xml:space="preserve">Custos Indiretos (Percentual da empresa)  </t>
    </r>
    <r>
      <rPr>
        <i/>
        <sz val="10"/>
        <color rgb="FFFF0000"/>
        <rFont val="Arial"/>
      </rPr>
      <t>(somatório dos módulos 1,2,3,4 e 5)*alíquota%</t>
    </r>
  </si>
  <si>
    <r>
      <rPr>
        <sz val="10"/>
        <color rgb="FF000000"/>
        <rFont val="Arial"/>
      </rPr>
      <t>Lucro (Percentual da empresa)</t>
    </r>
    <r>
      <rPr>
        <i/>
        <sz val="10"/>
        <color rgb="FFFF0000"/>
        <rFont val="Arial"/>
      </rPr>
      <t xml:space="preserve"> (somatório dos módulos 1,2,3,4, 5 + CI)*alíquota%</t>
    </r>
  </si>
  <si>
    <t>Tributos</t>
  </si>
  <si>
    <t xml:space="preserve">C.1. Tributos Federais </t>
  </si>
  <si>
    <r>
      <rPr>
        <sz val="10"/>
        <color rgb="FF000000"/>
        <rFont val="Arial"/>
      </rPr>
      <t xml:space="preserve">a) PIS </t>
    </r>
    <r>
      <rPr>
        <i/>
        <sz val="10"/>
        <color rgb="FFFF0000"/>
        <rFont val="Arial"/>
      </rPr>
      <t xml:space="preserve">(somatório dos módulos 1,2,3,4,5 + CI + Lucro) / (1-%tributos)*alíquota% </t>
    </r>
  </si>
  <si>
    <r>
      <rPr>
        <sz val="10"/>
        <color rgb="FF000000"/>
        <rFont val="Arial"/>
      </rPr>
      <t>b) Cofins</t>
    </r>
    <r>
      <rPr>
        <i/>
        <sz val="10"/>
        <color rgb="FFFF0000"/>
        <rFont val="Arial"/>
      </rPr>
      <t xml:space="preserve"> (somatório dos módulos 1,2,3,4,5 + CI + Lucro) / (1-%tributos)*alíquota%</t>
    </r>
  </si>
  <si>
    <t>C.2. Tributos Estaduais</t>
  </si>
  <si>
    <t>C.3. Tributos Municipais</t>
  </si>
  <si>
    <r>
      <rPr>
        <sz val="10"/>
        <color rgb="FF000000"/>
        <rFont val="Arial"/>
      </rPr>
      <t xml:space="preserve">a) ISS  </t>
    </r>
    <r>
      <rPr>
        <i/>
        <sz val="10"/>
        <color rgb="FFFF0000"/>
        <rFont val="Arial"/>
      </rPr>
      <t>(somatório dos módulos 1,2,3,4,5 + CI + Lucro) / (1-%tributos)*alíquota%</t>
    </r>
  </si>
  <si>
    <t>Nota 1: Custos Indiretos, Tributos e Lucro por empregado.
Nota 2: O valor referente a tributos é obtido aplicando-se o percentual sobre o valor do faturamento.</t>
  </si>
  <si>
    <t>2. QUADRO-RESUMO DO CUSTO POR EMPREGADO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</si>
  <si>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</si>
  <si>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</si>
  <si>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</si>
  <si>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</si>
  <si>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</si>
  <si>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 e lucro</t>
  </si>
  <si>
    <t>Valor total por empregado</t>
  </si>
  <si>
    <t>QUADRO DEMONSTRATIVO DO VALOR TOTAL DA PROPOSTA</t>
  </si>
  <si>
    <t>Tipo de Serviço (A)</t>
  </si>
  <si>
    <t>Valor Proposto por Empregado</t>
  </si>
  <si>
    <t xml:space="preserve">Qtde. de Empregados </t>
  </si>
  <si>
    <t>Valor Proposto por Posto</t>
  </si>
  <si>
    <t>Servente 44 Horas Semanais</t>
  </si>
  <si>
    <t>QUADRO DEMONSTRATIVO DO VALOR ANUAL DA PROPOSTA</t>
  </si>
  <si>
    <t>DESCRIÇÃO</t>
  </si>
  <si>
    <t>VALOR (R$)</t>
  </si>
  <si>
    <t>Posto de Trabalho - Mensal</t>
  </si>
  <si>
    <t>Valor global da proposta - Contrato de 12 meses
(Valor mensal do serviço multiplicado por 12 (meses), número de meses do
contrato).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</si>
  <si>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
Nota 2: O adicional de férias contido no Submódulo 2.1 corresponde a 1/3 (um terço) da remuneração que por sua vez é divido por 12 (doze) conforme Nota 1 acima.
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</si>
  <si>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Embrasg Empresa Brasileira de Serviços Gerais LTDA</t>
  </si>
  <si>
    <t>01.248.111/0001-84</t>
  </si>
  <si>
    <t>10.139.627-9</t>
  </si>
  <si>
    <t>Rua Anhangá Qd 36A, Rua L-14 - Vila Brasilia, Aparecida de Goiânia - GO, 74911-380</t>
  </si>
  <si>
    <t>(62) 3280-2149</t>
  </si>
  <si>
    <t>120 dias</t>
  </si>
  <si>
    <r>
      <rPr>
        <b/>
        <sz val="10"/>
        <rFont val="Arial"/>
        <family val="2"/>
      </rPr>
      <t>9. Banco:</t>
    </r>
    <r>
      <rPr>
        <sz val="10"/>
        <rFont val="Arial"/>
        <family val="2"/>
      </rPr>
      <t xml:space="preserve">  Banco do Brasil / Agência: 3421-5 C/c: 50472-6</t>
    </r>
  </si>
  <si>
    <t>Marta Izabete de Souza</t>
  </si>
  <si>
    <t>Diretora</t>
  </si>
  <si>
    <r>
      <rPr>
        <b/>
        <sz val="10"/>
        <rFont val="Arial"/>
        <family val="2"/>
      </rPr>
      <t>12. A unidade da federação na qual será emitido o documento fiscal é:</t>
    </r>
    <r>
      <rPr>
        <sz val="10"/>
        <rFont val="Arial"/>
        <family val="2"/>
      </rPr>
      <t xml:space="preserve">  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</si>
</sst>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&quot;* #,##0.00_-;\-&quot;R$&quot;* #,##0.00_-;_-&quot;R$&quot;* &quot;-&quot;??_-;_-@_-"/>
    <numFmt numFmtId="166" formatCode="_(&quot;R$ &quot;* #,##0.00_);_(&quot;R$ &quot;* \(#,##0.00\);_(&quot;R$ &quot;* &quot;-&quot;??_);_(@_)"/>
    <numFmt numFmtId="167" formatCode="&quot;R$ &quot;#,##0.00"/>
    <numFmt numFmtId="168" formatCode="0.000%"/>
    <numFmt numFmtId="169" formatCode="0.0%"/>
    <numFmt numFmtId="170" formatCode="0.000"/>
    <numFmt numFmtId="171" formatCode="&quot;R$&quot;\ #,##0.00"/>
    <numFmt numFmtId="172" formatCode="_-&quot;R$ &quot;* #,##0.00_-;&quot;-R$ &quot;* #,##0.00_-;_-&quot;R$ &quot;* \-??_-;_-@_-"/>
    <numFmt numFmtId="173" formatCode="_(&quot;R$ &quot;* #,##0.00_);_(&quot;R$ &quot;* \(#,##0.00\);_(&quot;R$ &quot;* \-??_);_(@_)"/>
    <numFmt numFmtId="174" formatCode="_-[$R$-416]\ * #,##0.00_-;\-[$R$-416]\ * #,##0.00_-;_-[$R$-416]\ * &quot;-&quot;??_-;_-@_-"/>
    <numFmt numFmtId="175" formatCode="yyyy\-mm\-dd"/>
    <numFmt numFmtId="176" formatCode="[$R$-416]\ #,##0.00;\-[$R$-416]\ #,##0.00"/>
    <numFmt numFmtId="177" formatCode="[$R$-416]\ #,##0.00"/>
    <numFmt numFmtId="178" formatCode=";;;"/>
    <numFmt numFmtId="179" formatCode="0.0"/>
  </numFmts>
  <fonts count="83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2"/>
      <color indexed="8"/>
      <name val="Times New Roman"/>
      <family val="1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b/>
      <sz val="16"/>
      <name val="Arial"/>
      <family val="2"/>
    </font>
    <font>
      <b/>
      <sz val="12"/>
      <color indexed="26"/>
      <name val="Verdana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11"/>
      <name val="Times New Roman"/>
      <family val="1"/>
    </font>
    <font>
      <b/>
      <sz val="10"/>
      <color indexed="10"/>
      <name val="Arial"/>
      <family val="2"/>
      <charset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b/>
      <i/>
      <sz val="8"/>
      <color theme="1"/>
      <name val="Times New Roman"/>
      <family val="1"/>
    </font>
    <font>
      <sz val="10"/>
      <color rgb="FF000000"/>
      <name val="Arial"/>
      <family val="2"/>
    </font>
    <font>
      <sz val="10"/>
      <color theme="1"/>
      <name val="Cambria"/>
      <family val="1"/>
    </font>
    <font>
      <b/>
      <sz val="11"/>
      <color rgb="FF000000"/>
      <name val="Times New Roman"/>
      <family val="1"/>
    </font>
    <font>
      <b/>
      <sz val="8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u/>
      <sz val="10"/>
      <color theme="1"/>
      <name val="Times New Roman"/>
      <family val="1"/>
    </font>
    <font>
      <sz val="12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color rgb="FF800080"/>
      <name val="Arial"/>
      <family val="2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0000"/>
      <name val="Arial"/>
    </font>
    <font>
      <i/>
      <sz val="10"/>
      <color rgb="FFFF0000"/>
      <name val="Arial"/>
    </font>
    <font>
      <sz val="10"/>
      <name val="Arial"/>
      <family val="3"/>
    </font>
    <font>
      <sz val="9"/>
      <color rgb="FF000000"/>
      <name val="Arial"/>
      <family val="2"/>
    </font>
    <font>
      <i/>
      <sz val="11"/>
      <color rgb="FF7F7F7F"/>
      <name val="Calibri"/>
      <scheme val="minor"/>
    </font>
    <font>
      <b/>
      <sz val="12"/>
      <color rgb="FF000000"/>
      <name val="Arial"/>
    </font>
    <font>
      <sz val="12"/>
      <color rgb="FF000000"/>
      <name val="Arial"/>
    </font>
    <font>
      <b/>
      <sz val="10"/>
      <name val="Arial"/>
    </font>
    <font>
      <b/>
      <sz val="10"/>
      <color rgb="FF000000"/>
      <name val="Arial"/>
      <family val="2"/>
    </font>
    <font>
      <b/>
      <sz val="12"/>
      <color theme="1"/>
      <name val="Calibri"/>
      <scheme val="minor"/>
    </font>
    <font>
      <b/>
      <sz val="12"/>
      <name val="Calibri"/>
      <scheme val="minor"/>
    </font>
    <font>
      <b/>
      <sz val="10"/>
      <name val="Calibri"/>
      <scheme val="minor"/>
    </font>
    <font>
      <sz val="10"/>
      <name val="Calibri"/>
      <scheme val="minor"/>
    </font>
    <font>
      <sz val="12"/>
      <name val="Calibri"/>
      <scheme val="minor"/>
    </font>
    <font>
      <sz val="12"/>
      <color rgb="FF000000"/>
      <name val="Calibri"/>
      <scheme val="minor"/>
    </font>
    <font>
      <sz val="12"/>
      <color rgb="FFFF0000"/>
      <name val="Calibri"/>
      <scheme val="minor"/>
    </font>
    <font>
      <b/>
      <sz val="12"/>
      <color rgb="FF000000"/>
      <name val="Calibri"/>
      <scheme val="minor"/>
    </font>
    <font>
      <b/>
      <sz val="12"/>
      <color indexed="8"/>
      <name val="Calibri"/>
      <scheme val="minor"/>
    </font>
    <font>
      <sz val="11"/>
      <color rgb="FF000000"/>
      <name val="Calibri"/>
      <family val="2"/>
    </font>
    <font>
      <u/>
      <sz val="10"/>
      <color theme="10"/>
      <name val="Arial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rgb="FF444444"/>
      <name val="Aptos Narrow"/>
      <charset val="1"/>
    </font>
  </fonts>
  <fills count="6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99"/>
        <bgColor indexed="22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782B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9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21" fillId="4" borderId="0" applyNumberFormat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6" fillId="0" borderId="3" applyNumberFormat="0" applyFill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25" fillId="7" borderId="1" applyNumberFormat="0" applyAlignment="0" applyProtection="0"/>
    <xf numFmtId="0" fontId="17" fillId="3" borderId="0" applyNumberFormat="0" applyBorder="0" applyAlignment="0" applyProtection="0"/>
    <xf numFmtId="166" fontId="1" fillId="0" borderId="0" applyFont="0" applyFill="0" applyBorder="0" applyAlignment="0" applyProtection="0"/>
    <xf numFmtId="173" fontId="6" fillId="0" borderId="0" applyFill="0" applyBorder="0" applyAlignment="0" applyProtection="0"/>
    <xf numFmtId="173" fontId="6" fillId="0" borderId="0" applyFill="0" applyBorder="0" applyAlignment="0" applyProtection="0"/>
    <xf numFmtId="166" fontId="6" fillId="0" borderId="0" applyFont="0" applyFill="0" applyBorder="0" applyAlignment="0" applyProtection="0"/>
    <xf numFmtId="44" fontId="15" fillId="0" borderId="0" applyFont="0" applyFill="0" applyBorder="0" applyAlignment="0" applyProtection="0"/>
    <xf numFmtId="172" fontId="32" fillId="0" borderId="0" applyBorder="0" applyProtection="0"/>
    <xf numFmtId="165" fontId="40" fillId="0" borderId="0" applyFont="0" applyFill="0" applyBorder="0" applyAlignment="0" applyProtection="0"/>
    <xf numFmtId="0" fontId="27" fillId="22" borderId="0" applyNumberFormat="0" applyBorder="0" applyAlignment="0" applyProtection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0"/>
    <xf numFmtId="0" fontId="39" fillId="0" borderId="0"/>
    <xf numFmtId="0" fontId="6" fillId="0" borderId="0"/>
    <xf numFmtId="0" fontId="6" fillId="0" borderId="0"/>
    <xf numFmtId="0" fontId="41" fillId="0" borderId="0"/>
    <xf numFmtId="0" fontId="39" fillId="0" borderId="0"/>
    <xf numFmtId="0" fontId="39" fillId="0" borderId="0"/>
    <xf numFmtId="0" fontId="32" fillId="0" borderId="0"/>
    <xf numFmtId="0" fontId="40" fillId="0" borderId="0"/>
    <xf numFmtId="0" fontId="6" fillId="23" borderId="4" applyNumberFormat="0" applyAlignment="0" applyProtection="0"/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9" fontId="15" fillId="0" borderId="0" applyFont="0" applyFill="0" applyBorder="0" applyAlignment="0" applyProtection="0"/>
    <xf numFmtId="9" fontId="32" fillId="0" borderId="0" applyBorder="0" applyProtection="0"/>
    <xf numFmtId="9" fontId="40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8" fillId="16" borderId="5" applyNumberFormat="0" applyAlignment="0" applyProtection="0"/>
    <xf numFmtId="164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64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738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166" fontId="5" fillId="0" borderId="0" xfId="0" applyNumberFormat="1" applyFont="1"/>
    <xf numFmtId="0" fontId="6" fillId="0" borderId="10" xfId="0" applyFont="1" applyBorder="1" applyAlignment="1">
      <alignment horizontal="center" vertical="center" wrapText="1"/>
    </xf>
    <xf numFmtId="0" fontId="5" fillId="26" borderId="0" xfId="0" applyFont="1" applyFill="1" applyAlignment="1">
      <alignment horizontal="left" vertical="center" wrapText="1" indent="9"/>
    </xf>
    <xf numFmtId="4" fontId="6" fillId="26" borderId="0" xfId="0" applyNumberFormat="1" applyFont="1" applyFill="1" applyAlignment="1">
      <alignment horizontal="center" vertical="center"/>
    </xf>
    <xf numFmtId="44" fontId="6" fillId="26" borderId="0" xfId="31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3" fillId="0" borderId="0" xfId="0" applyFont="1"/>
    <xf numFmtId="0" fontId="12" fillId="0" borderId="0" xfId="0" applyFont="1"/>
    <xf numFmtId="166" fontId="44" fillId="0" borderId="0" xfId="31" applyFont="1" applyBorder="1"/>
    <xf numFmtId="0" fontId="44" fillId="0" borderId="0" xfId="0" applyFont="1" applyAlignment="1">
      <alignment horizontal="center"/>
    </xf>
    <xf numFmtId="166" fontId="44" fillId="0" borderId="0" xfId="0" applyNumberFormat="1" applyFont="1"/>
    <xf numFmtId="166" fontId="45" fillId="0" borderId="0" xfId="0" applyNumberFormat="1" applyFont="1"/>
    <xf numFmtId="0" fontId="6" fillId="0" borderId="0" xfId="0" applyFont="1"/>
    <xf numFmtId="166" fontId="6" fillId="26" borderId="0" xfId="0" applyNumberFormat="1" applyFont="1" applyFill="1"/>
    <xf numFmtId="166" fontId="6" fillId="0" borderId="0" xfId="0" applyNumberFormat="1" applyFont="1"/>
    <xf numFmtId="9" fontId="6" fillId="0" borderId="0" xfId="0" applyNumberFormat="1" applyFont="1" applyAlignment="1">
      <alignment horizontal="left"/>
    </xf>
    <xf numFmtId="164" fontId="6" fillId="0" borderId="0" xfId="0" applyNumberFormat="1" applyFont="1"/>
    <xf numFmtId="0" fontId="6" fillId="0" borderId="0" xfId="0" applyFont="1" applyAlignment="1">
      <alignment horizontal="center"/>
    </xf>
    <xf numFmtId="0" fontId="43" fillId="0" borderId="0" xfId="0" applyFont="1" applyAlignment="1">
      <alignment horizontal="right"/>
    </xf>
    <xf numFmtId="0" fontId="6" fillId="0" borderId="0" xfId="45" applyAlignment="1">
      <alignment horizontal="center"/>
    </xf>
    <xf numFmtId="0" fontId="32" fillId="0" borderId="0" xfId="50"/>
    <xf numFmtId="0" fontId="6" fillId="0" borderId="0" xfId="45" applyAlignment="1">
      <alignment vertical="center"/>
    </xf>
    <xf numFmtId="0" fontId="6" fillId="0" borderId="0" xfId="45"/>
    <xf numFmtId="171" fontId="6" fillId="0" borderId="0" xfId="45" applyNumberFormat="1"/>
    <xf numFmtId="0" fontId="5" fillId="0" borderId="30" xfId="45" applyFont="1" applyBorder="1" applyAlignment="1">
      <alignment horizontal="center" vertical="center" wrapText="1"/>
    </xf>
    <xf numFmtId="171" fontId="5" fillId="0" borderId="30" xfId="45" applyNumberFormat="1" applyFont="1" applyBorder="1" applyAlignment="1">
      <alignment horizontal="center" vertical="center" wrapText="1"/>
    </xf>
    <xf numFmtId="0" fontId="5" fillId="0" borderId="31" xfId="45" applyFont="1" applyBorder="1" applyAlignment="1">
      <alignment horizontal="center" vertical="center" wrapText="1"/>
    </xf>
    <xf numFmtId="0" fontId="6" fillId="0" borderId="0" xfId="45" applyAlignment="1">
      <alignment vertical="center" wrapText="1"/>
    </xf>
    <xf numFmtId="0" fontId="6" fillId="0" borderId="0" xfId="45" applyAlignment="1">
      <alignment wrapText="1"/>
    </xf>
    <xf numFmtId="171" fontId="6" fillId="0" borderId="0" xfId="45" applyNumberFormat="1" applyAlignment="1">
      <alignment wrapText="1"/>
    </xf>
    <xf numFmtId="171" fontId="6" fillId="0" borderId="0" xfId="45" applyNumberFormat="1" applyAlignment="1">
      <alignment horizontal="center"/>
    </xf>
    <xf numFmtId="0" fontId="6" fillId="0" borderId="0" xfId="45" applyAlignment="1">
      <alignment horizontal="center" vertical="center"/>
    </xf>
    <xf numFmtId="171" fontId="5" fillId="0" borderId="0" xfId="45" applyNumberFormat="1" applyFont="1" applyAlignment="1">
      <alignment horizontal="center" vertical="center"/>
    </xf>
    <xf numFmtId="171" fontId="6" fillId="0" borderId="0" xfId="45" applyNumberFormat="1" applyAlignment="1">
      <alignment horizontal="center" vertical="center"/>
    </xf>
    <xf numFmtId="0" fontId="5" fillId="0" borderId="0" xfId="45" applyFont="1"/>
    <xf numFmtId="0" fontId="6" fillId="0" borderId="0" xfId="45" applyAlignment="1">
      <alignment horizontal="left"/>
    </xf>
    <xf numFmtId="171" fontId="6" fillId="0" borderId="0" xfId="45" applyNumberFormat="1" applyAlignment="1">
      <alignment horizontal="left"/>
    </xf>
    <xf numFmtId="0" fontId="7" fillId="0" borderId="0" xfId="50" applyFont="1" applyAlignment="1">
      <alignment horizontal="center"/>
    </xf>
    <xf numFmtId="0" fontId="12" fillId="0" borderId="34" xfId="0" applyFont="1" applyBorder="1" applyProtection="1">
      <protection locked="0"/>
    </xf>
    <xf numFmtId="0" fontId="12" fillId="0" borderId="35" xfId="0" applyFont="1" applyBorder="1" applyProtection="1">
      <protection locked="0"/>
    </xf>
    <xf numFmtId="0" fontId="12" fillId="0" borderId="36" xfId="0" applyFont="1" applyBorder="1" applyProtection="1">
      <protection locked="0"/>
    </xf>
    <xf numFmtId="0" fontId="0" fillId="0" borderId="0" xfId="0" applyProtection="1">
      <protection locked="0"/>
    </xf>
    <xf numFmtId="0" fontId="39" fillId="0" borderId="0" xfId="40"/>
    <xf numFmtId="0" fontId="47" fillId="0" borderId="20" xfId="40" applyFont="1" applyBorder="1" applyAlignment="1">
      <alignment vertical="center"/>
    </xf>
    <xf numFmtId="0" fontId="39" fillId="0" borderId="20" xfId="40" applyBorder="1"/>
    <xf numFmtId="0" fontId="42" fillId="0" borderId="0" xfId="40" applyFont="1"/>
    <xf numFmtId="0" fontId="35" fillId="0" borderId="0" xfId="0" applyFont="1"/>
    <xf numFmtId="175" fontId="8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8" fillId="0" borderId="10" xfId="0" applyFont="1" applyBorder="1" applyAlignment="1">
      <alignment horizontal="center" vertical="center" wrapText="1"/>
    </xf>
    <xf numFmtId="0" fontId="48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2" fillId="0" borderId="0" xfId="0" applyFont="1" applyAlignment="1">
      <alignment horizontal="left"/>
    </xf>
    <xf numFmtId="0" fontId="42" fillId="0" borderId="0" xfId="0" applyFont="1"/>
    <xf numFmtId="39" fontId="42" fillId="0" borderId="0" xfId="0" applyNumberFormat="1" applyFont="1"/>
    <xf numFmtId="0" fontId="6" fillId="0" borderId="10" xfId="0" applyFont="1" applyBorder="1"/>
    <xf numFmtId="166" fontId="5" fillId="0" borderId="10" xfId="0" applyNumberFormat="1" applyFont="1" applyBorder="1"/>
    <xf numFmtId="0" fontId="5" fillId="0" borderId="10" xfId="0" applyFont="1" applyBorder="1" applyAlignment="1">
      <alignment horizontal="center" vertical="center"/>
    </xf>
    <xf numFmtId="4" fontId="41" fillId="0" borderId="10" xfId="0" applyNumberFormat="1" applyFont="1" applyBorder="1" applyAlignment="1">
      <alignment horizontal="center" vertical="center" wrapText="1"/>
    </xf>
    <xf numFmtId="4" fontId="41" fillId="26" borderId="10" xfId="0" applyNumberFormat="1" applyFont="1" applyFill="1" applyBorder="1" applyAlignment="1">
      <alignment horizontal="center" vertical="center" wrapText="1"/>
    </xf>
    <xf numFmtId="3" fontId="0" fillId="29" borderId="10" xfId="0" applyNumberFormat="1" applyFill="1" applyBorder="1" applyAlignment="1">
      <alignment horizontal="center" vertical="center"/>
    </xf>
    <xf numFmtId="0" fontId="0" fillId="29" borderId="10" xfId="0" applyFill="1" applyBorder="1" applyAlignment="1">
      <alignment horizontal="center" vertical="center"/>
    </xf>
    <xf numFmtId="39" fontId="41" fillId="0" borderId="10" xfId="34" applyNumberFormat="1" applyFont="1" applyBorder="1" applyAlignment="1">
      <alignment horizontal="center" vertical="center"/>
    </xf>
    <xf numFmtId="4" fontId="41" fillId="0" borderId="10" xfId="0" applyNumberFormat="1" applyFont="1" applyBorder="1" applyAlignment="1">
      <alignment horizontal="center" vertical="center"/>
    </xf>
    <xf numFmtId="4" fontId="41" fillId="29" borderId="14" xfId="0" applyNumberFormat="1" applyFont="1" applyFill="1" applyBorder="1" applyAlignment="1">
      <alignment horizontal="center" vertical="center" wrapText="1"/>
    </xf>
    <xf numFmtId="0" fontId="37" fillId="34" borderId="25" xfId="0" applyFont="1" applyFill="1" applyBorder="1" applyAlignment="1">
      <alignment horizontal="center" vertical="center" textRotation="90"/>
    </xf>
    <xf numFmtId="0" fontId="50" fillId="34" borderId="38" xfId="0" applyFont="1" applyFill="1" applyBorder="1" applyAlignment="1">
      <alignment horizontal="center" vertical="center" wrapText="1"/>
    </xf>
    <xf numFmtId="4" fontId="41" fillId="0" borderId="14" xfId="0" applyNumberFormat="1" applyFont="1" applyBorder="1" applyAlignment="1">
      <alignment horizontal="center" vertical="center" wrapText="1"/>
    </xf>
    <xf numFmtId="4" fontId="41" fillId="29" borderId="14" xfId="0" applyNumberFormat="1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1" fillId="0" borderId="0" xfId="0" applyFont="1"/>
    <xf numFmtId="177" fontId="52" fillId="0" borderId="10" xfId="0" applyNumberFormat="1" applyFont="1" applyBorder="1" applyAlignment="1">
      <alignment horizontal="center" vertical="center"/>
    </xf>
    <xf numFmtId="0" fontId="5" fillId="29" borderId="12" xfId="0" applyFont="1" applyFill="1" applyBorder="1"/>
    <xf numFmtId="0" fontId="0" fillId="29" borderId="11" xfId="0" applyFill="1" applyBorder="1"/>
    <xf numFmtId="0" fontId="0" fillId="29" borderId="15" xfId="0" applyFill="1" applyBorder="1"/>
    <xf numFmtId="0" fontId="6" fillId="29" borderId="11" xfId="0" applyFont="1" applyFill="1" applyBorder="1"/>
    <xf numFmtId="0" fontId="6" fillId="29" borderId="15" xfId="0" applyFont="1" applyFill="1" applyBorder="1"/>
    <xf numFmtId="0" fontId="5" fillId="0" borderId="30" xfId="45" applyFont="1" applyBorder="1" applyAlignment="1">
      <alignment horizontal="center" vertical="center" textRotation="90"/>
    </xf>
    <xf numFmtId="178" fontId="0" fillId="0" borderId="0" xfId="0" applyNumberFormat="1"/>
    <xf numFmtId="0" fontId="13" fillId="36" borderId="37" xfId="0" applyFont="1" applyFill="1" applyBorder="1" applyAlignment="1">
      <alignment horizontal="center" vertical="center"/>
    </xf>
    <xf numFmtId="4" fontId="5" fillId="38" borderId="10" xfId="0" applyNumberFormat="1" applyFont="1" applyFill="1" applyBorder="1" applyAlignment="1">
      <alignment horizontal="center" vertical="center"/>
    </xf>
    <xf numFmtId="0" fontId="53" fillId="27" borderId="0" xfId="51" applyFont="1" applyFill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40" fillId="0" borderId="0" xfId="51"/>
    <xf numFmtId="0" fontId="40" fillId="0" borderId="0" xfId="51" applyAlignment="1">
      <alignment horizontal="right"/>
    </xf>
    <xf numFmtId="0" fontId="40" fillId="0" borderId="0" xfId="51" applyAlignment="1">
      <alignment horizontal="right" vertical="top"/>
    </xf>
    <xf numFmtId="0" fontId="40" fillId="0" borderId="0" xfId="51" applyAlignment="1">
      <alignment vertical="top" wrapText="1"/>
    </xf>
    <xf numFmtId="0" fontId="40" fillId="0" borderId="0" xfId="51" applyAlignment="1">
      <alignment horizontal="left" vertical="top" wrapText="1"/>
    </xf>
    <xf numFmtId="0" fontId="40" fillId="0" borderId="0" xfId="51" applyAlignment="1">
      <alignment horizontal="left" vertical="top"/>
    </xf>
    <xf numFmtId="0" fontId="40" fillId="0" borderId="0" xfId="51" applyAlignment="1">
      <alignment horizontal="center"/>
    </xf>
    <xf numFmtId="165" fontId="0" fillId="0" borderId="0" xfId="37" applyFont="1" applyFill="1"/>
    <xf numFmtId="165" fontId="40" fillId="0" borderId="0" xfId="51" applyNumberFormat="1"/>
    <xf numFmtId="0" fontId="0" fillId="0" borderId="0" xfId="71" applyNumberFormat="1" applyFont="1" applyFill="1"/>
    <xf numFmtId="0" fontId="53" fillId="0" borderId="0" xfId="51" applyFont="1"/>
    <xf numFmtId="165" fontId="53" fillId="0" borderId="0" xfId="51" applyNumberFormat="1" applyFont="1"/>
    <xf numFmtId="0" fontId="0" fillId="0" borderId="0" xfId="71" applyNumberFormat="1" applyFont="1" applyFill="1" applyAlignment="1">
      <alignment horizontal="center" vertical="center"/>
    </xf>
    <xf numFmtId="0" fontId="0" fillId="0" borderId="28" xfId="0" applyBorder="1"/>
    <xf numFmtId="0" fontId="0" fillId="0" borderId="21" xfId="0" applyBorder="1"/>
    <xf numFmtId="0" fontId="0" fillId="0" borderId="19" xfId="0" applyBorder="1"/>
    <xf numFmtId="0" fontId="6" fillId="0" borderId="39" xfId="45" applyBorder="1" applyAlignment="1">
      <alignment horizontal="center"/>
    </xf>
    <xf numFmtId="0" fontId="5" fillId="0" borderId="40" xfId="45" applyFont="1" applyBorder="1"/>
    <xf numFmtId="0" fontId="6" fillId="0" borderId="35" xfId="45" applyBorder="1"/>
    <xf numFmtId="0" fontId="6" fillId="0" borderId="35" xfId="45" applyBorder="1" applyAlignment="1">
      <alignment horizontal="left"/>
    </xf>
    <xf numFmtId="171" fontId="6" fillId="0" borderId="35" xfId="45" applyNumberFormat="1" applyBorder="1" applyAlignment="1">
      <alignment horizontal="left"/>
    </xf>
    <xf numFmtId="0" fontId="6" fillId="0" borderId="41" xfId="45" applyBorder="1" applyAlignment="1">
      <alignment horizontal="center"/>
    </xf>
    <xf numFmtId="0" fontId="6" fillId="0" borderId="26" xfId="45" applyBorder="1"/>
    <xf numFmtId="0" fontId="6" fillId="0" borderId="42" xfId="45" applyBorder="1" applyAlignment="1">
      <alignment horizontal="center"/>
    </xf>
    <xf numFmtId="0" fontId="5" fillId="0" borderId="26" xfId="45" applyFont="1" applyBorder="1"/>
    <xf numFmtId="0" fontId="6" fillId="0" borderId="39" xfId="45" applyBorder="1"/>
    <xf numFmtId="0" fontId="6" fillId="0" borderId="27" xfId="45" applyBorder="1"/>
    <xf numFmtId="0" fontId="6" fillId="0" borderId="27" xfId="45" applyBorder="1" applyAlignment="1">
      <alignment horizontal="left"/>
    </xf>
    <xf numFmtId="171" fontId="6" fillId="0" borderId="27" xfId="45" applyNumberFormat="1" applyBorder="1" applyAlignment="1">
      <alignment horizontal="left"/>
    </xf>
    <xf numFmtId="0" fontId="6" fillId="0" borderId="43" xfId="45" applyBorder="1" applyAlignment="1">
      <alignment horizontal="center"/>
    </xf>
    <xf numFmtId="0" fontId="5" fillId="26" borderId="12" xfId="45" applyFont="1" applyFill="1" applyBorder="1" applyAlignment="1">
      <alignment horizontal="center" vertical="center"/>
    </xf>
    <xf numFmtId="0" fontId="5" fillId="26" borderId="11" xfId="45" applyFont="1" applyFill="1" applyBorder="1" applyAlignment="1">
      <alignment horizontal="center" vertical="center"/>
    </xf>
    <xf numFmtId="0" fontId="5" fillId="26" borderId="15" xfId="45" applyFont="1" applyFill="1" applyBorder="1" applyAlignment="1">
      <alignment horizontal="center" vertical="center"/>
    </xf>
    <xf numFmtId="165" fontId="0" fillId="0" borderId="0" xfId="37" applyFont="1"/>
    <xf numFmtId="43" fontId="0" fillId="0" borderId="0" xfId="71" applyFont="1"/>
    <xf numFmtId="166" fontId="40" fillId="0" borderId="0" xfId="31" applyFont="1"/>
    <xf numFmtId="43" fontId="40" fillId="0" borderId="0" xfId="51" applyNumberFormat="1"/>
    <xf numFmtId="0" fontId="5" fillId="29" borderId="14" xfId="45" applyFont="1" applyFill="1" applyBorder="1" applyAlignment="1">
      <alignment horizontal="center" vertical="center"/>
    </xf>
    <xf numFmtId="167" fontId="5" fillId="39" borderId="10" xfId="45" applyNumberFormat="1" applyFont="1" applyFill="1" applyBorder="1" applyAlignment="1">
      <alignment horizontal="center" vertical="center" wrapText="1"/>
    </xf>
    <xf numFmtId="167" fontId="5" fillId="39" borderId="44" xfId="45" applyNumberFormat="1" applyFont="1" applyFill="1" applyBorder="1" applyAlignment="1">
      <alignment horizontal="center" vertical="center" wrapText="1"/>
    </xf>
    <xf numFmtId="0" fontId="54" fillId="0" borderId="0" xfId="40" applyFont="1" applyAlignment="1">
      <alignment horizontal="left" vertical="center"/>
    </xf>
    <xf numFmtId="165" fontId="55" fillId="0" borderId="0" xfId="37" applyFont="1" applyFill="1"/>
    <xf numFmtId="1" fontId="7" fillId="0" borderId="40" xfId="45" applyNumberFormat="1" applyFont="1" applyBorder="1" applyAlignment="1">
      <alignment horizontal="center" vertical="center" wrapText="1"/>
    </xf>
    <xf numFmtId="171" fontId="7" fillId="0" borderId="40" xfId="45" applyNumberFormat="1" applyFont="1" applyBorder="1" applyAlignment="1">
      <alignment vertical="center" wrapText="1"/>
    </xf>
    <xf numFmtId="171" fontId="7" fillId="0" borderId="35" xfId="45" applyNumberFormat="1" applyFont="1" applyBorder="1" applyAlignment="1">
      <alignment vertical="center" wrapText="1"/>
    </xf>
    <xf numFmtId="171" fontId="7" fillId="0" borderId="41" xfId="45" applyNumberFormat="1" applyFont="1" applyBorder="1" applyAlignment="1">
      <alignment vertical="center" wrapText="1"/>
    </xf>
    <xf numFmtId="167" fontId="0" fillId="0" borderId="0" xfId="0" applyNumberFormat="1"/>
    <xf numFmtId="0" fontId="5" fillId="0" borderId="10" xfId="0" applyFont="1" applyBorder="1" applyAlignment="1">
      <alignment horizontal="center" vertical="center" wrapText="1"/>
    </xf>
    <xf numFmtId="0" fontId="5" fillId="40" borderId="14" xfId="0" applyFont="1" applyFill="1" applyBorder="1" applyAlignment="1">
      <alignment horizontal="center" vertical="center" wrapText="1"/>
    </xf>
    <xf numFmtId="2" fontId="5" fillId="40" borderId="14" xfId="0" applyNumberFormat="1" applyFont="1" applyFill="1" applyBorder="1" applyAlignment="1">
      <alignment horizontal="center" vertical="center" wrapText="1"/>
    </xf>
    <xf numFmtId="171" fontId="6" fillId="0" borderId="10" xfId="0" applyNumberFormat="1" applyFont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 vertical="center"/>
    </xf>
    <xf numFmtId="2" fontId="6" fillId="41" borderId="0" xfId="0" applyNumberFormat="1" applyFont="1" applyFill="1"/>
    <xf numFmtId="171" fontId="5" fillId="42" borderId="14" xfId="0" applyNumberFormat="1" applyFont="1" applyFill="1" applyBorder="1" applyAlignment="1">
      <alignment horizontal="center" vertical="center" wrapText="1"/>
    </xf>
    <xf numFmtId="0" fontId="5" fillId="40" borderId="10" xfId="0" applyFont="1" applyFill="1" applyBorder="1" applyAlignment="1">
      <alignment horizontal="center" vertical="center"/>
    </xf>
    <xf numFmtId="0" fontId="5" fillId="40" borderId="10" xfId="0" applyFont="1" applyFill="1" applyBorder="1" applyAlignment="1">
      <alignment horizontal="center" vertical="center" wrapText="1"/>
    </xf>
    <xf numFmtId="2" fontId="5" fillId="40" borderId="10" xfId="0" applyNumberFormat="1" applyFont="1" applyFill="1" applyBorder="1" applyAlignment="1">
      <alignment horizontal="center" vertical="center"/>
    </xf>
    <xf numFmtId="10" fontId="6" fillId="0" borderId="10" xfId="56" applyNumberFormat="1" applyFont="1" applyBorder="1" applyAlignment="1" applyProtection="1">
      <alignment horizontal="center" vertical="center" wrapText="1"/>
    </xf>
    <xf numFmtId="10" fontId="5" fillId="42" borderId="10" xfId="0" applyNumberFormat="1" applyFont="1" applyFill="1" applyBorder="1" applyAlignment="1">
      <alignment horizontal="center" vertical="center"/>
    </xf>
    <xf numFmtId="171" fontId="5" fillId="42" borderId="10" xfId="0" applyNumberFormat="1" applyFont="1" applyFill="1" applyBorder="1" applyAlignment="1">
      <alignment horizontal="center" vertical="center"/>
    </xf>
    <xf numFmtId="10" fontId="5" fillId="43" borderId="10" xfId="0" applyNumberFormat="1" applyFont="1" applyFill="1" applyBorder="1" applyAlignment="1">
      <alignment horizontal="center" vertical="center"/>
    </xf>
    <xf numFmtId="171" fontId="5" fillId="43" borderId="10" xfId="0" applyNumberFormat="1" applyFont="1" applyFill="1" applyBorder="1" applyAlignment="1">
      <alignment horizontal="center" vertical="center"/>
    </xf>
    <xf numFmtId="0" fontId="5" fillId="40" borderId="12" xfId="0" applyFont="1" applyFill="1" applyBorder="1" applyAlignment="1">
      <alignment horizontal="center" vertical="center"/>
    </xf>
    <xf numFmtId="2" fontId="5" fillId="40" borderId="10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5" fillId="40" borderId="16" xfId="0" applyFont="1" applyFill="1" applyBorder="1" applyAlignment="1">
      <alignment horizontal="center" vertical="center"/>
    </xf>
    <xf numFmtId="2" fontId="5" fillId="40" borderId="16" xfId="0" applyNumberFormat="1" applyFont="1" applyFill="1" applyBorder="1" applyAlignment="1">
      <alignment horizontal="center" vertical="center" wrapText="1"/>
    </xf>
    <xf numFmtId="171" fontId="6" fillId="0" borderId="10" xfId="0" applyNumberFormat="1" applyFont="1" applyBorder="1" applyAlignment="1">
      <alignment horizontal="center" vertical="center" wrapText="1"/>
    </xf>
    <xf numFmtId="171" fontId="6" fillId="0" borderId="14" xfId="0" applyNumberFormat="1" applyFont="1" applyBorder="1" applyAlignment="1">
      <alignment horizontal="center" vertical="center"/>
    </xf>
    <xf numFmtId="0" fontId="6" fillId="42" borderId="10" xfId="0" applyFont="1" applyFill="1" applyBorder="1" applyAlignment="1">
      <alignment horizontal="center" vertical="center"/>
    </xf>
    <xf numFmtId="0" fontId="6" fillId="40" borderId="10" xfId="0" applyFont="1" applyFill="1" applyBorder="1" applyAlignment="1">
      <alignment horizontal="center" vertical="center"/>
    </xf>
    <xf numFmtId="2" fontId="6" fillId="40" borderId="10" xfId="0" applyNumberFormat="1" applyFont="1" applyFill="1" applyBorder="1" applyAlignment="1">
      <alignment horizontal="center" vertical="center"/>
    </xf>
    <xf numFmtId="10" fontId="6" fillId="0" borderId="10" xfId="0" applyNumberFormat="1" applyFont="1" applyBorder="1" applyAlignment="1">
      <alignment horizontal="center" vertical="center" wrapText="1"/>
    </xf>
    <xf numFmtId="0" fontId="5" fillId="43" borderId="10" xfId="0" applyFont="1" applyFill="1" applyBorder="1" applyAlignment="1">
      <alignment horizontal="center" vertical="center"/>
    </xf>
    <xf numFmtId="171" fontId="5" fillId="43" borderId="15" xfId="0" applyNumberFormat="1" applyFont="1" applyFill="1" applyBorder="1" applyAlignment="1">
      <alignment horizontal="center" vertical="center"/>
    </xf>
    <xf numFmtId="0" fontId="5" fillId="44" borderId="10" xfId="0" applyFont="1" applyFill="1" applyBorder="1" applyAlignment="1">
      <alignment horizontal="center" vertical="center"/>
    </xf>
    <xf numFmtId="171" fontId="5" fillId="44" borderId="15" xfId="0" applyNumberFormat="1" applyFont="1" applyFill="1" applyBorder="1" applyAlignment="1">
      <alignment horizontal="center" vertical="center"/>
    </xf>
    <xf numFmtId="0" fontId="5" fillId="40" borderId="10" xfId="0" applyFont="1" applyFill="1" applyBorder="1" applyAlignment="1">
      <alignment horizontal="center"/>
    </xf>
    <xf numFmtId="2" fontId="5" fillId="40" borderId="10" xfId="0" applyNumberFormat="1" applyFont="1" applyFill="1" applyBorder="1" applyAlignment="1">
      <alignment horizontal="center"/>
    </xf>
    <xf numFmtId="168" fontId="6" fillId="0" borderId="10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vertical="center" wrapText="1"/>
    </xf>
    <xf numFmtId="4" fontId="6" fillId="0" borderId="10" xfId="0" applyNumberFormat="1" applyFont="1" applyBorder="1" applyAlignment="1">
      <alignment horizontal="center" vertical="center"/>
    </xf>
    <xf numFmtId="2" fontId="5" fillId="42" borderId="10" xfId="0" applyNumberFormat="1" applyFont="1" applyFill="1" applyBorder="1" applyAlignment="1">
      <alignment horizontal="center" vertical="center"/>
    </xf>
    <xf numFmtId="10" fontId="6" fillId="0" borderId="10" xfId="0" applyNumberFormat="1" applyFont="1" applyBorder="1" applyAlignment="1">
      <alignment vertical="center" wrapText="1"/>
    </xf>
    <xf numFmtId="171" fontId="5" fillId="42" borderId="10" xfId="0" applyNumberFormat="1" applyFont="1" applyFill="1" applyBorder="1" applyAlignment="1">
      <alignment horizontal="center" vertical="center" wrapText="1"/>
    </xf>
    <xf numFmtId="171" fontId="5" fillId="43" borderId="15" xfId="0" applyNumberFormat="1" applyFont="1" applyFill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171" fontId="6" fillId="45" borderId="10" xfId="36" applyNumberFormat="1" applyFont="1" applyFill="1" applyBorder="1" applyAlignment="1">
      <alignment horizontal="center"/>
    </xf>
    <xf numFmtId="171" fontId="6" fillId="0" borderId="15" xfId="0" applyNumberFormat="1" applyFont="1" applyBorder="1" applyAlignment="1">
      <alignment horizontal="center" vertical="center" wrapText="1"/>
    </xf>
    <xf numFmtId="171" fontId="5" fillId="45" borderId="10" xfId="36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right" vertical="center" wrapText="1"/>
    </xf>
    <xf numFmtId="172" fontId="6" fillId="0" borderId="0" xfId="36" applyFont="1" applyBorder="1"/>
    <xf numFmtId="0" fontId="46" fillId="26" borderId="18" xfId="48" applyFont="1" applyFill="1" applyBorder="1" applyAlignment="1">
      <alignment horizontal="center" vertical="center" wrapText="1"/>
    </xf>
    <xf numFmtId="0" fontId="46" fillId="26" borderId="47" xfId="48" applyFont="1" applyFill="1" applyBorder="1" applyAlignment="1">
      <alignment horizontal="center" vertical="center" wrapText="1"/>
    </xf>
    <xf numFmtId="0" fontId="41" fillId="26" borderId="18" xfId="48" applyFont="1" applyFill="1" applyBorder="1" applyAlignment="1">
      <alignment horizontal="center" vertical="center" wrapText="1"/>
    </xf>
    <xf numFmtId="171" fontId="41" fillId="26" borderId="45" xfId="48" applyNumberFormat="1" applyFont="1" applyFill="1" applyBorder="1" applyAlignment="1">
      <alignment horizontal="center" vertical="center" wrapText="1"/>
    </xf>
    <xf numFmtId="171" fontId="41" fillId="26" borderId="18" xfId="35" applyNumberFormat="1" applyFont="1" applyFill="1" applyBorder="1" applyAlignment="1" applyProtection="1">
      <alignment horizontal="center" vertical="center" wrapText="1"/>
      <protection locked="0"/>
    </xf>
    <xf numFmtId="167" fontId="46" fillId="28" borderId="10" xfId="0" quotePrefix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71" fontId="6" fillId="28" borderId="10" xfId="0" applyNumberFormat="1" applyFont="1" applyFill="1" applyBorder="1" applyAlignment="1">
      <alignment horizontal="center" vertical="center"/>
    </xf>
    <xf numFmtId="0" fontId="45" fillId="0" borderId="0" xfId="0" applyFont="1"/>
    <xf numFmtId="9" fontId="6" fillId="0" borderId="0" xfId="0" applyNumberFormat="1" applyFont="1"/>
    <xf numFmtId="0" fontId="44" fillId="0" borderId="0" xfId="0" applyFont="1"/>
    <xf numFmtId="10" fontId="6" fillId="0" borderId="0" xfId="0" applyNumberFormat="1" applyFont="1"/>
    <xf numFmtId="0" fontId="46" fillId="26" borderId="45" xfId="48" applyFont="1" applyFill="1" applyBorder="1" applyAlignment="1">
      <alignment horizontal="center" vertical="center" wrapText="1"/>
    </xf>
    <xf numFmtId="171" fontId="6" fillId="42" borderId="10" xfId="0" applyNumberFormat="1" applyFont="1" applyFill="1" applyBorder="1" applyAlignment="1">
      <alignment horizontal="center" vertical="center"/>
    </xf>
    <xf numFmtId="0" fontId="0" fillId="0" borderId="50" xfId="71" applyNumberFormat="1" applyFont="1" applyFill="1" applyBorder="1" applyAlignment="1">
      <alignment horizontal="center" vertical="center"/>
    </xf>
    <xf numFmtId="0" fontId="53" fillId="0" borderId="53" xfId="51" applyFont="1" applyBorder="1" applyAlignment="1">
      <alignment horizontal="center" vertical="center"/>
    </xf>
    <xf numFmtId="0" fontId="40" fillId="0" borderId="56" xfId="51" applyBorder="1" applyAlignment="1">
      <alignment horizontal="center" vertical="center"/>
    </xf>
    <xf numFmtId="0" fontId="40" fillId="0" borderId="58" xfId="51" applyBorder="1" applyAlignment="1">
      <alignment horizontal="center" vertical="center"/>
    </xf>
    <xf numFmtId="0" fontId="40" fillId="0" borderId="0" xfId="51" applyAlignment="1">
      <alignment horizontal="center" vertical="center"/>
    </xf>
    <xf numFmtId="0" fontId="10" fillId="33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horizontal="left" vertical="center" wrapText="1"/>
    </xf>
    <xf numFmtId="4" fontId="5" fillId="0" borderId="10" xfId="0" applyNumberFormat="1" applyFont="1" applyBorder="1" applyAlignment="1">
      <alignment horizontal="center"/>
    </xf>
    <xf numFmtId="0" fontId="0" fillId="33" borderId="0" xfId="0" applyFill="1"/>
    <xf numFmtId="10" fontId="6" fillId="33" borderId="10" xfId="0" applyNumberFormat="1" applyFont="1" applyFill="1" applyBorder="1" applyAlignment="1">
      <alignment horizontal="center" vertical="center"/>
    </xf>
    <xf numFmtId="168" fontId="6" fillId="0" borderId="10" xfId="56" applyNumberFormat="1" applyFont="1" applyBorder="1" applyAlignment="1" applyProtection="1">
      <alignment horizontal="center" vertical="center"/>
    </xf>
    <xf numFmtId="10" fontId="6" fillId="0" borderId="16" xfId="0" applyNumberFormat="1" applyFont="1" applyBorder="1" applyAlignment="1">
      <alignment horizontal="center" vertical="center"/>
    </xf>
    <xf numFmtId="0" fontId="6" fillId="33" borderId="51" xfId="0" applyFont="1" applyFill="1" applyBorder="1" applyAlignment="1">
      <alignment vertical="center" wrapText="1"/>
    </xf>
    <xf numFmtId="10" fontId="6" fillId="33" borderId="10" xfId="0" applyNumberFormat="1" applyFont="1" applyFill="1" applyBorder="1" applyAlignment="1">
      <alignment horizontal="center" vertical="center" wrapText="1"/>
    </xf>
    <xf numFmtId="171" fontId="6" fillId="33" borderId="10" xfId="0" applyNumberFormat="1" applyFont="1" applyFill="1" applyBorder="1" applyAlignment="1">
      <alignment horizontal="center" vertical="center"/>
    </xf>
    <xf numFmtId="171" fontId="5" fillId="42" borderId="15" xfId="0" applyNumberFormat="1" applyFont="1" applyFill="1" applyBorder="1" applyAlignment="1">
      <alignment horizontal="center" vertical="center"/>
    </xf>
    <xf numFmtId="10" fontId="6" fillId="33" borderId="41" xfId="0" applyNumberFormat="1" applyFont="1" applyFill="1" applyBorder="1" applyAlignment="1">
      <alignment horizontal="center" vertical="center" wrapText="1"/>
    </xf>
    <xf numFmtId="2" fontId="6" fillId="33" borderId="10" xfId="0" applyNumberFormat="1" applyFont="1" applyFill="1" applyBorder="1"/>
    <xf numFmtId="171" fontId="6" fillId="33" borderId="14" xfId="0" applyNumberFormat="1" applyFont="1" applyFill="1" applyBorder="1" applyAlignment="1">
      <alignment horizontal="center" vertical="center"/>
    </xf>
    <xf numFmtId="3" fontId="41" fillId="33" borderId="14" xfId="0" applyNumberFormat="1" applyFont="1" applyFill="1" applyBorder="1" applyAlignment="1">
      <alignment horizontal="center" vertical="center"/>
    </xf>
    <xf numFmtId="9" fontId="41" fillId="33" borderId="10" xfId="56" applyFont="1" applyFill="1" applyBorder="1" applyAlignment="1" applyProtection="1">
      <alignment horizontal="center" vertical="center"/>
    </xf>
    <xf numFmtId="168" fontId="6" fillId="0" borderId="10" xfId="0" applyNumberFormat="1" applyFont="1" applyBorder="1" applyAlignment="1">
      <alignment horizontal="center" vertical="center" wrapText="1"/>
    </xf>
    <xf numFmtId="0" fontId="6" fillId="33" borderId="0" xfId="0" applyFont="1" applyFill="1"/>
    <xf numFmtId="171" fontId="5" fillId="44" borderId="51" xfId="0" applyNumberFormat="1" applyFont="1" applyFill="1" applyBorder="1" applyAlignment="1">
      <alignment horizontal="center" vertical="center"/>
    </xf>
    <xf numFmtId="0" fontId="5" fillId="43" borderId="12" xfId="0" applyFont="1" applyFill="1" applyBorder="1" applyAlignment="1">
      <alignment horizontal="center" vertical="center"/>
    </xf>
    <xf numFmtId="171" fontId="5" fillId="43" borderId="41" xfId="0" applyNumberFormat="1" applyFont="1" applyFill="1" applyBorder="1" applyAlignment="1">
      <alignment horizontal="center" vertical="center" wrapText="1"/>
    </xf>
    <xf numFmtId="171" fontId="5" fillId="33" borderId="10" xfId="0" applyNumberFormat="1" applyFont="1" applyFill="1" applyBorder="1" applyAlignment="1">
      <alignment horizontal="center" vertical="center"/>
    </xf>
    <xf numFmtId="168" fontId="6" fillId="35" borderId="10" xfId="0" applyNumberFormat="1" applyFont="1" applyFill="1" applyBorder="1" applyAlignment="1">
      <alignment horizontal="center" vertical="center" wrapText="1"/>
    </xf>
    <xf numFmtId="10" fontId="5" fillId="42" borderId="51" xfId="0" applyNumberFormat="1" applyFont="1" applyFill="1" applyBorder="1" applyAlignment="1">
      <alignment horizontal="center" vertical="center"/>
    </xf>
    <xf numFmtId="171" fontId="6" fillId="28" borderId="10" xfId="0" applyNumberFormat="1" applyFont="1" applyFill="1" applyBorder="1" applyAlignment="1">
      <alignment horizontal="center" vertical="center" wrapText="1"/>
    </xf>
    <xf numFmtId="0" fontId="6" fillId="35" borderId="51" xfId="0" applyFont="1" applyFill="1" applyBorder="1" applyAlignment="1">
      <alignment vertical="center" wrapText="1"/>
    </xf>
    <xf numFmtId="0" fontId="62" fillId="0" borderId="10" xfId="0" applyFont="1" applyBorder="1" applyAlignment="1">
      <alignment wrapText="1"/>
    </xf>
    <xf numFmtId="0" fontId="62" fillId="0" borderId="14" xfId="0" applyFont="1" applyBorder="1" applyAlignment="1">
      <alignment wrapText="1"/>
    </xf>
    <xf numFmtId="0" fontId="62" fillId="33" borderId="10" xfId="0" applyFont="1" applyFill="1" applyBorder="1" applyAlignment="1">
      <alignment wrapText="1"/>
    </xf>
    <xf numFmtId="0" fontId="59" fillId="50" borderId="10" xfId="0" applyFont="1" applyFill="1" applyBorder="1" applyAlignment="1">
      <alignment horizontal="center" vertical="center" wrapText="1"/>
    </xf>
    <xf numFmtId="0" fontId="64" fillId="0" borderId="0" xfId="72"/>
    <xf numFmtId="10" fontId="6" fillId="35" borderId="15" xfId="0" applyNumberFormat="1" applyFont="1" applyFill="1" applyBorder="1" applyAlignment="1">
      <alignment horizontal="center" vertical="center"/>
    </xf>
    <xf numFmtId="0" fontId="58" fillId="51" borderId="10" xfId="50" applyFont="1" applyFill="1" applyBorder="1" applyAlignment="1">
      <alignment horizontal="justify" vertical="center" wrapText="1"/>
    </xf>
    <xf numFmtId="0" fontId="5" fillId="51" borderId="10" xfId="45" quotePrefix="1" applyFont="1" applyFill="1" applyBorder="1" applyAlignment="1">
      <alignment horizontal="center" vertical="center" wrapText="1"/>
    </xf>
    <xf numFmtId="167" fontId="7" fillId="0" borderId="61" xfId="45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63" fillId="0" borderId="14" xfId="0" applyFont="1" applyBorder="1" applyAlignment="1">
      <alignment horizontal="center" wrapText="1"/>
    </xf>
    <xf numFmtId="0" fontId="0" fillId="0" borderId="0" xfId="45" applyFont="1" applyAlignment="1">
      <alignment horizontal="left"/>
    </xf>
    <xf numFmtId="170" fontId="0" fillId="0" borderId="0" xfId="0" applyNumberFormat="1"/>
    <xf numFmtId="2" fontId="0" fillId="0" borderId="0" xfId="0" applyNumberFormat="1"/>
    <xf numFmtId="0" fontId="45" fillId="0" borderId="0" xfId="0" applyFont="1" applyAlignment="1">
      <alignment horizontal="center" vertical="center" wrapText="1"/>
    </xf>
    <xf numFmtId="177" fontId="52" fillId="0" borderId="0" xfId="0" applyNumberFormat="1" applyFont="1" applyAlignment="1">
      <alignment horizontal="center" vertical="center"/>
    </xf>
    <xf numFmtId="166" fontId="5" fillId="0" borderId="62" xfId="0" applyNumberFormat="1" applyFont="1" applyBorder="1"/>
    <xf numFmtId="0" fontId="41" fillId="33" borderId="18" xfId="48" applyFont="1" applyFill="1" applyBorder="1" applyAlignment="1">
      <alignment horizontal="center" vertical="center" wrapText="1"/>
    </xf>
    <xf numFmtId="0" fontId="5" fillId="51" borderId="10" xfId="45" applyFont="1" applyFill="1" applyBorder="1" applyAlignment="1">
      <alignment horizontal="center" vertical="center" wrapText="1"/>
    </xf>
    <xf numFmtId="1" fontId="5" fillId="51" borderId="10" xfId="45" applyNumberFormat="1" applyFont="1" applyFill="1" applyBorder="1" applyAlignment="1">
      <alignment horizontal="center" vertical="center" wrapText="1"/>
    </xf>
    <xf numFmtId="171" fontId="5" fillId="51" borderId="10" xfId="45" applyNumberFormat="1" applyFont="1" applyFill="1" applyBorder="1" applyAlignment="1">
      <alignment horizontal="center" vertical="center" wrapText="1"/>
    </xf>
    <xf numFmtId="176" fontId="0" fillId="0" borderId="0" xfId="0" applyNumberFormat="1"/>
    <xf numFmtId="43" fontId="0" fillId="0" borderId="0" xfId="0" applyNumberFormat="1"/>
    <xf numFmtId="44" fontId="67" fillId="0" borderId="62" xfId="0" applyNumberFormat="1" applyFont="1" applyBorder="1"/>
    <xf numFmtId="0" fontId="67" fillId="0" borderId="51" xfId="0" applyFont="1" applyBorder="1" applyAlignment="1">
      <alignment horizontal="center" vertical="center" wrapText="1"/>
    </xf>
    <xf numFmtId="0" fontId="68" fillId="0" borderId="64" xfId="0" applyFont="1" applyBorder="1" applyAlignment="1">
      <alignment horizontal="center" vertical="center" wrapText="1"/>
    </xf>
    <xf numFmtId="176" fontId="68" fillId="26" borderId="0" xfId="0" applyNumberFormat="1" applyFont="1" applyFill="1" applyAlignment="1">
      <alignment horizontal="center" vertical="center"/>
    </xf>
    <xf numFmtId="2" fontId="68" fillId="26" borderId="0" xfId="69" applyNumberFormat="1" applyFont="1" applyFill="1" applyBorder="1" applyAlignment="1">
      <alignment horizontal="center"/>
    </xf>
    <xf numFmtId="0" fontId="53" fillId="0" borderId="56" xfId="51" applyFont="1" applyBorder="1" applyAlignment="1">
      <alignment horizontal="center" vertical="center"/>
    </xf>
    <xf numFmtId="0" fontId="40" fillId="0" borderId="54" xfId="51" applyBorder="1" applyAlignment="1">
      <alignment horizontal="center" vertical="center"/>
    </xf>
    <xf numFmtId="165" fontId="40" fillId="0" borderId="55" xfId="51" applyNumberFormat="1" applyBorder="1" applyAlignment="1">
      <alignment vertical="center"/>
    </xf>
    <xf numFmtId="170" fontId="40" fillId="0" borderId="0" xfId="51" applyNumberFormat="1" applyAlignment="1">
      <alignment horizontal="center" vertical="center"/>
    </xf>
    <xf numFmtId="165" fontId="40" fillId="0" borderId="57" xfId="51" applyNumberFormat="1" applyBorder="1" applyAlignment="1">
      <alignment vertical="center"/>
    </xf>
    <xf numFmtId="0" fontId="53" fillId="0" borderId="0" xfId="51" applyFont="1" applyAlignment="1">
      <alignment vertical="center"/>
    </xf>
    <xf numFmtId="43" fontId="53" fillId="0" borderId="0" xfId="51" applyNumberFormat="1" applyFont="1" applyAlignment="1">
      <alignment horizontal="center" vertical="center"/>
    </xf>
    <xf numFmtId="0" fontId="53" fillId="0" borderId="0" xfId="51" applyFont="1" applyAlignment="1">
      <alignment horizontal="center" vertical="center"/>
    </xf>
    <xf numFmtId="170" fontId="53" fillId="0" borderId="0" xfId="51" applyNumberFormat="1" applyFont="1" applyAlignment="1">
      <alignment horizontal="center" vertical="center"/>
    </xf>
    <xf numFmtId="0" fontId="40" fillId="0" borderId="57" xfId="51" applyBorder="1" applyAlignment="1">
      <alignment vertical="center"/>
    </xf>
    <xf numFmtId="0" fontId="53" fillId="0" borderId="50" xfId="51" applyFont="1" applyBorder="1" applyAlignment="1">
      <alignment vertical="center"/>
    </xf>
    <xf numFmtId="43" fontId="53" fillId="33" borderId="50" xfId="51" applyNumberFormat="1" applyFont="1" applyFill="1" applyBorder="1" applyAlignment="1">
      <alignment horizontal="center" vertical="center"/>
    </xf>
    <xf numFmtId="0" fontId="53" fillId="0" borderId="50" xfId="51" applyFont="1" applyBorder="1" applyAlignment="1">
      <alignment horizontal="center" vertical="center"/>
    </xf>
    <xf numFmtId="165" fontId="53" fillId="0" borderId="49" xfId="51" applyNumberFormat="1" applyFont="1" applyBorder="1" applyAlignment="1">
      <alignment vertical="center"/>
    </xf>
    <xf numFmtId="0" fontId="40" fillId="49" borderId="0" xfId="51" applyFill="1" applyAlignment="1">
      <alignment horizontal="center" vertical="center"/>
    </xf>
    <xf numFmtId="43" fontId="40" fillId="49" borderId="0" xfId="51" applyNumberFormat="1" applyFill="1" applyAlignment="1">
      <alignment horizontal="center" vertical="center"/>
    </xf>
    <xf numFmtId="0" fontId="40" fillId="52" borderId="54" xfId="51" applyFill="1" applyBorder="1" applyAlignment="1">
      <alignment vertical="center" wrapText="1"/>
    </xf>
    <xf numFmtId="0" fontId="40" fillId="52" borderId="0" xfId="51" applyFill="1" applyAlignment="1">
      <alignment vertical="center" wrapText="1"/>
    </xf>
    <xf numFmtId="0" fontId="40" fillId="45" borderId="0" xfId="51" applyFill="1" applyAlignment="1">
      <alignment vertical="center" wrapText="1"/>
    </xf>
    <xf numFmtId="0" fontId="40" fillId="45" borderId="0" xfId="51" applyFill="1" applyAlignment="1">
      <alignment vertical="center"/>
    </xf>
    <xf numFmtId="0" fontId="40" fillId="55" borderId="0" xfId="51" applyFill="1" applyAlignment="1">
      <alignment vertical="center" wrapText="1"/>
    </xf>
    <xf numFmtId="0" fontId="40" fillId="55" borderId="0" xfId="51" applyFill="1" applyAlignment="1">
      <alignment vertical="center"/>
    </xf>
    <xf numFmtId="0" fontId="40" fillId="56" borderId="0" xfId="51" applyFill="1" applyAlignment="1">
      <alignment vertical="center" wrapText="1"/>
    </xf>
    <xf numFmtId="0" fontId="40" fillId="56" borderId="0" xfId="51" applyFill="1" applyAlignment="1">
      <alignment vertical="center"/>
    </xf>
    <xf numFmtId="0" fontId="0" fillId="0" borderId="51" xfId="0" applyBorder="1"/>
    <xf numFmtId="0" fontId="14" fillId="26" borderId="37" xfId="0" applyFont="1" applyFill="1" applyBorder="1" applyAlignment="1">
      <alignment horizontal="left" vertical="center"/>
    </xf>
    <xf numFmtId="10" fontId="14" fillId="26" borderId="37" xfId="0" applyNumberFormat="1" applyFont="1" applyFill="1" applyBorder="1" applyAlignment="1">
      <alignment horizontal="center" vertical="center"/>
    </xf>
    <xf numFmtId="0" fontId="60" fillId="0" borderId="0" xfId="0" applyFont="1"/>
    <xf numFmtId="0" fontId="60" fillId="0" borderId="0" xfId="0" quotePrefix="1" applyFont="1"/>
    <xf numFmtId="0" fontId="40" fillId="0" borderId="0" xfId="51" applyAlignment="1">
      <alignment vertical="center"/>
    </xf>
    <xf numFmtId="0" fontId="40" fillId="52" borderId="54" xfId="51" applyFill="1" applyBorder="1" applyAlignment="1">
      <alignment vertical="center"/>
    </xf>
    <xf numFmtId="170" fontId="40" fillId="0" borderId="54" xfId="51" applyNumberFormat="1" applyBorder="1" applyAlignment="1">
      <alignment horizontal="center" vertical="center"/>
    </xf>
    <xf numFmtId="0" fontId="40" fillId="52" borderId="0" xfId="51" applyFill="1" applyAlignment="1">
      <alignment vertical="center"/>
    </xf>
    <xf numFmtId="165" fontId="53" fillId="0" borderId="0" xfId="51" applyNumberFormat="1" applyFont="1" applyAlignment="1">
      <alignment vertical="center"/>
    </xf>
    <xf numFmtId="43" fontId="53" fillId="0" borderId="0" xfId="51" applyNumberFormat="1" applyFont="1" applyAlignment="1">
      <alignment vertical="center"/>
    </xf>
    <xf numFmtId="0" fontId="53" fillId="0" borderId="54" xfId="51" applyFont="1" applyBorder="1" applyAlignment="1">
      <alignment vertical="center" wrapText="1"/>
    </xf>
    <xf numFmtId="165" fontId="55" fillId="0" borderId="54" xfId="37" applyFont="1" applyFill="1" applyBorder="1" applyAlignment="1">
      <alignment vertical="center"/>
    </xf>
    <xf numFmtId="165" fontId="40" fillId="0" borderId="54" xfId="51" applyNumberFormat="1" applyBorder="1" applyAlignment="1">
      <alignment vertical="center"/>
    </xf>
    <xf numFmtId="0" fontId="0" fillId="0" borderId="54" xfId="71" applyNumberFormat="1" applyFont="1" applyFill="1" applyBorder="1" applyAlignment="1">
      <alignment vertical="center"/>
    </xf>
    <xf numFmtId="165" fontId="55" fillId="0" borderId="0" xfId="37" applyFont="1" applyFill="1" applyBorder="1" applyAlignment="1">
      <alignment vertical="center"/>
    </xf>
    <xf numFmtId="165" fontId="40" fillId="0" borderId="0" xfId="51" applyNumberFormat="1" applyAlignment="1">
      <alignment vertical="center"/>
    </xf>
    <xf numFmtId="0" fontId="0" fillId="0" borderId="0" xfId="71" applyNumberFormat="1" applyFont="1" applyFill="1" applyBorder="1" applyAlignment="1">
      <alignment vertical="center"/>
    </xf>
    <xf numFmtId="0" fontId="40" fillId="0" borderId="50" xfId="51" applyBorder="1" applyAlignment="1">
      <alignment vertical="center"/>
    </xf>
    <xf numFmtId="0" fontId="40" fillId="0" borderId="50" xfId="51" applyBorder="1" applyAlignment="1">
      <alignment horizontal="center" vertical="center"/>
    </xf>
    <xf numFmtId="165" fontId="55" fillId="0" borderId="50" xfId="37" applyFont="1" applyFill="1" applyBorder="1" applyAlignment="1">
      <alignment vertical="center"/>
    </xf>
    <xf numFmtId="0" fontId="40" fillId="0" borderId="0" xfId="51" applyAlignment="1">
      <alignment vertical="center" wrapText="1"/>
    </xf>
    <xf numFmtId="165" fontId="0" fillId="0" borderId="0" xfId="37" applyFont="1" applyAlignment="1">
      <alignment vertical="center"/>
    </xf>
    <xf numFmtId="43" fontId="0" fillId="0" borderId="0" xfId="71" applyFont="1" applyAlignment="1">
      <alignment vertical="center"/>
    </xf>
    <xf numFmtId="165" fontId="0" fillId="0" borderId="0" xfId="37" applyFont="1" applyFill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70" fillId="52" borderId="70" xfId="51" applyFont="1" applyFill="1" applyBorder="1" applyAlignment="1">
      <alignment horizontal="center" vertical="center" wrapText="1"/>
    </xf>
    <xf numFmtId="0" fontId="69" fillId="54" borderId="69" xfId="51" applyFont="1" applyFill="1" applyBorder="1" applyAlignment="1">
      <alignment horizontal="center" vertical="center" wrapText="1"/>
    </xf>
    <xf numFmtId="0" fontId="69" fillId="54" borderId="68" xfId="51" applyFont="1" applyFill="1" applyBorder="1" applyAlignment="1">
      <alignment horizontal="center" vertical="center" wrapText="1"/>
    </xf>
    <xf numFmtId="0" fontId="69" fillId="54" borderId="78" xfId="51" applyFont="1" applyFill="1" applyBorder="1" applyAlignment="1">
      <alignment horizontal="center" vertical="center" wrapText="1"/>
    </xf>
    <xf numFmtId="0" fontId="72" fillId="0" borderId="0" xfId="45" applyFont="1"/>
    <xf numFmtId="0" fontId="70" fillId="52" borderId="49" xfId="51" applyFont="1" applyFill="1" applyBorder="1" applyAlignment="1">
      <alignment horizontal="center" vertical="center" wrapText="1"/>
    </xf>
    <xf numFmtId="0" fontId="70" fillId="53" borderId="70" xfId="51" applyFont="1" applyFill="1" applyBorder="1" applyAlignment="1">
      <alignment horizontal="center" vertical="center" wrapText="1"/>
    </xf>
    <xf numFmtId="0" fontId="73" fillId="27" borderId="66" xfId="45" applyFont="1" applyFill="1" applyBorder="1" applyAlignment="1">
      <alignment horizontal="center" vertical="center"/>
    </xf>
    <xf numFmtId="0" fontId="73" fillId="27" borderId="77" xfId="45" applyFont="1" applyFill="1" applyBorder="1" applyAlignment="1">
      <alignment horizontal="left" vertical="center" wrapText="1"/>
    </xf>
    <xf numFmtId="0" fontId="73" fillId="27" borderId="62" xfId="45" applyFont="1" applyFill="1" applyBorder="1" applyAlignment="1">
      <alignment horizontal="center" vertical="center" wrapText="1"/>
    </xf>
    <xf numFmtId="0" fontId="73" fillId="0" borderId="53" xfId="45" applyFont="1" applyBorder="1" applyAlignment="1">
      <alignment horizontal="center" vertical="center"/>
    </xf>
    <xf numFmtId="0" fontId="73" fillId="0" borderId="78" xfId="45" applyFont="1" applyBorder="1" applyAlignment="1">
      <alignment horizontal="left" vertical="center" wrapText="1"/>
    </xf>
    <xf numFmtId="0" fontId="73" fillId="0" borderId="63" xfId="45" applyFont="1" applyBorder="1" applyAlignment="1">
      <alignment horizontal="center" vertical="center" wrapText="1"/>
    </xf>
    <xf numFmtId="0" fontId="73" fillId="27" borderId="68" xfId="45" applyFont="1" applyFill="1" applyBorder="1" applyAlignment="1">
      <alignment horizontal="center" vertical="center"/>
    </xf>
    <xf numFmtId="0" fontId="73" fillId="27" borderId="48" xfId="45" applyFont="1" applyFill="1" applyBorder="1" applyAlignment="1">
      <alignment horizontal="left" vertical="center" wrapText="1"/>
    </xf>
    <xf numFmtId="0" fontId="73" fillId="27" borderId="75" xfId="45" applyFont="1" applyFill="1" applyBorder="1" applyAlignment="1">
      <alignment horizontal="center" vertical="center" wrapText="1"/>
    </xf>
    <xf numFmtId="0" fontId="70" fillId="0" borderId="58" xfId="45" applyFont="1" applyBorder="1" applyAlignment="1">
      <alignment horizontal="center" vertical="center"/>
    </xf>
    <xf numFmtId="0" fontId="73" fillId="0" borderId="50" xfId="45" applyFont="1" applyBorder="1" applyAlignment="1">
      <alignment horizontal="center"/>
    </xf>
    <xf numFmtId="2" fontId="40" fillId="52" borderId="54" xfId="51" applyNumberFormat="1" applyFill="1" applyBorder="1" applyAlignment="1">
      <alignment horizontal="center" vertical="center" wrapText="1"/>
    </xf>
    <xf numFmtId="2" fontId="40" fillId="52" borderId="0" xfId="51" applyNumberFormat="1" applyFill="1" applyAlignment="1">
      <alignment horizontal="center" vertical="center" wrapText="1"/>
    </xf>
    <xf numFmtId="2" fontId="40" fillId="45" borderId="0" xfId="51" applyNumberFormat="1" applyFill="1" applyAlignment="1">
      <alignment horizontal="center" vertical="center"/>
    </xf>
    <xf numFmtId="4" fontId="40" fillId="45" borderId="0" xfId="51" applyNumberFormat="1" applyFill="1" applyAlignment="1">
      <alignment horizontal="center" vertical="center"/>
    </xf>
    <xf numFmtId="2" fontId="40" fillId="55" borderId="0" xfId="51" applyNumberFormat="1" applyFill="1" applyAlignment="1">
      <alignment horizontal="center" vertical="center"/>
    </xf>
    <xf numFmtId="2" fontId="40" fillId="56" borderId="0" xfId="51" applyNumberFormat="1" applyFill="1" applyAlignment="1">
      <alignment horizontal="center" vertical="center"/>
    </xf>
    <xf numFmtId="0" fontId="5" fillId="33" borderId="13" xfId="0" applyFont="1" applyFill="1" applyBorder="1" applyAlignment="1">
      <alignment horizontal="center" vertical="center" wrapText="1"/>
    </xf>
    <xf numFmtId="0" fontId="6" fillId="0" borderId="51" xfId="0" applyFont="1" applyBorder="1" applyAlignment="1">
      <alignment vertical="center"/>
    </xf>
    <xf numFmtId="166" fontId="6" fillId="0" borderId="51" xfId="31" applyFont="1" applyBorder="1" applyAlignment="1">
      <alignment vertical="center"/>
    </xf>
    <xf numFmtId="0" fontId="6" fillId="0" borderId="51" xfId="0" applyFont="1" applyBorder="1" applyAlignment="1">
      <alignment horizontal="center" vertical="center"/>
    </xf>
    <xf numFmtId="166" fontId="6" fillId="0" borderId="51" xfId="0" applyNumberFormat="1" applyFont="1" applyBorder="1" applyAlignment="1">
      <alignment vertical="center"/>
    </xf>
    <xf numFmtId="174" fontId="6" fillId="0" borderId="51" xfId="0" applyNumberFormat="1" applyFont="1" applyBorder="1" applyAlignment="1">
      <alignment vertical="center"/>
    </xf>
    <xf numFmtId="166" fontId="5" fillId="0" borderId="51" xfId="0" applyNumberFormat="1" applyFont="1" applyBorder="1" applyAlignment="1">
      <alignment vertical="center"/>
    </xf>
    <xf numFmtId="179" fontId="40" fillId="0" borderId="54" xfId="51" applyNumberFormat="1" applyBorder="1" applyAlignment="1">
      <alignment horizontal="center" vertical="center"/>
    </xf>
    <xf numFmtId="179" fontId="40" fillId="0" borderId="0" xfId="51" applyNumberFormat="1" applyAlignment="1">
      <alignment horizontal="center" vertical="center"/>
    </xf>
    <xf numFmtId="179" fontId="53" fillId="0" borderId="0" xfId="51" applyNumberFormat="1" applyFont="1" applyAlignment="1">
      <alignment horizontal="center" vertical="center"/>
    </xf>
    <xf numFmtId="10" fontId="73" fillId="0" borderId="54" xfId="57" applyNumberFormat="1" applyFont="1" applyBorder="1" applyAlignment="1">
      <alignment horizontal="right" vertical="center"/>
    </xf>
    <xf numFmtId="10" fontId="73" fillId="0" borderId="0" xfId="57" applyNumberFormat="1" applyFont="1" applyBorder="1" applyAlignment="1">
      <alignment horizontal="right" vertical="center"/>
    </xf>
    <xf numFmtId="9" fontId="53" fillId="0" borderId="0" xfId="57" applyFont="1" applyBorder="1" applyAlignment="1">
      <alignment horizontal="right" vertical="center"/>
    </xf>
    <xf numFmtId="169" fontId="73" fillId="0" borderId="54" xfId="57" applyNumberFormat="1" applyFont="1" applyBorder="1" applyAlignment="1">
      <alignment horizontal="right" vertical="center"/>
    </xf>
    <xf numFmtId="169" fontId="73" fillId="0" borderId="0" xfId="57" applyNumberFormat="1" applyFont="1" applyBorder="1" applyAlignment="1">
      <alignment horizontal="right" vertical="center"/>
    </xf>
    <xf numFmtId="169" fontId="69" fillId="0" borderId="0" xfId="57" applyNumberFormat="1" applyFont="1" applyBorder="1" applyAlignment="1">
      <alignment horizontal="right" vertical="center"/>
    </xf>
    <xf numFmtId="169" fontId="69" fillId="0" borderId="0" xfId="57" applyNumberFormat="1" applyFont="1" applyBorder="1" applyAlignment="1">
      <alignment vertical="center"/>
    </xf>
    <xf numFmtId="169" fontId="73" fillId="0" borderId="54" xfId="57" applyNumberFormat="1" applyFont="1" applyBorder="1" applyAlignment="1">
      <alignment vertical="center"/>
    </xf>
    <xf numFmtId="169" fontId="73" fillId="0" borderId="0" xfId="57" applyNumberFormat="1" applyFont="1" applyBorder="1" applyAlignment="1">
      <alignment vertical="center"/>
    </xf>
    <xf numFmtId="171" fontId="5" fillId="0" borderId="10" xfId="0" applyNumberFormat="1" applyFont="1" applyBorder="1" applyAlignment="1">
      <alignment horizontal="center" vertical="center"/>
    </xf>
    <xf numFmtId="171" fontId="5" fillId="0" borderId="62" xfId="0" applyNumberFormat="1" applyFont="1" applyBorder="1" applyAlignment="1">
      <alignment horizontal="center"/>
    </xf>
    <xf numFmtId="1" fontId="40" fillId="0" borderId="54" xfId="51" applyNumberFormat="1" applyBorder="1" applyAlignment="1">
      <alignment horizontal="center" vertical="center"/>
    </xf>
    <xf numFmtId="0" fontId="74" fillId="26" borderId="48" xfId="40" applyFont="1" applyFill="1" applyBorder="1" applyAlignment="1">
      <alignment horizontal="center" vertical="center" wrapText="1"/>
    </xf>
    <xf numFmtId="0" fontId="74" fillId="26" borderId="49" xfId="40" applyFont="1" applyFill="1" applyBorder="1" applyAlignment="1">
      <alignment horizontal="center" vertical="center" wrapText="1"/>
    </xf>
    <xf numFmtId="0" fontId="75" fillId="26" borderId="49" xfId="40" applyFont="1" applyFill="1" applyBorder="1" applyAlignment="1">
      <alignment horizontal="center" vertical="center" wrapText="1"/>
    </xf>
    <xf numFmtId="0" fontId="74" fillId="26" borderId="50" xfId="40" applyFont="1" applyFill="1" applyBorder="1" applyAlignment="1">
      <alignment horizontal="center" vertical="center" wrapText="1"/>
    </xf>
    <xf numFmtId="0" fontId="74" fillId="30" borderId="48" xfId="40" applyFont="1" applyFill="1" applyBorder="1" applyAlignment="1">
      <alignment horizontal="center" vertical="center" wrapText="1"/>
    </xf>
    <xf numFmtId="0" fontId="74" fillId="30" borderId="49" xfId="40" applyFont="1" applyFill="1" applyBorder="1" applyAlignment="1">
      <alignment horizontal="center" vertical="center" wrapText="1"/>
    </xf>
    <xf numFmtId="0" fontId="75" fillId="30" borderId="49" xfId="40" applyFont="1" applyFill="1" applyBorder="1" applyAlignment="1">
      <alignment horizontal="center" vertical="center" wrapText="1"/>
    </xf>
    <xf numFmtId="0" fontId="74" fillId="30" borderId="50" xfId="40" applyFont="1" applyFill="1" applyBorder="1" applyAlignment="1">
      <alignment horizontal="center" vertical="center" wrapText="1"/>
    </xf>
    <xf numFmtId="0" fontId="74" fillId="0" borderId="48" xfId="40" applyFont="1" applyBorder="1" applyAlignment="1">
      <alignment horizontal="center" vertical="center" wrapText="1"/>
    </xf>
    <xf numFmtId="0" fontId="74" fillId="0" borderId="49" xfId="40" applyFont="1" applyBorder="1" applyAlignment="1">
      <alignment horizontal="center" vertical="center" wrapText="1"/>
    </xf>
    <xf numFmtId="0" fontId="75" fillId="0" borderId="49" xfId="40" applyFont="1" applyBorder="1" applyAlignment="1">
      <alignment horizontal="center" vertical="center" wrapText="1"/>
    </xf>
    <xf numFmtId="174" fontId="39" fillId="26" borderId="18" xfId="40" applyNumberFormat="1" applyFill="1" applyBorder="1" applyAlignment="1">
      <alignment horizontal="center" vertical="center"/>
    </xf>
    <xf numFmtId="174" fontId="39" fillId="30" borderId="18" xfId="40" applyNumberFormat="1" applyFill="1" applyBorder="1" applyAlignment="1">
      <alignment horizontal="center" vertical="center"/>
    </xf>
    <xf numFmtId="174" fontId="39" fillId="0" borderId="18" xfId="40" applyNumberFormat="1" applyBorder="1" applyAlignment="1">
      <alignment horizontal="center" vertical="center" wrapText="1"/>
    </xf>
    <xf numFmtId="0" fontId="73" fillId="26" borderId="83" xfId="0" applyFont="1" applyFill="1" applyBorder="1" applyAlignment="1">
      <alignment horizontal="center" vertical="center" wrapText="1"/>
    </xf>
    <xf numFmtId="0" fontId="74" fillId="26" borderId="52" xfId="40" applyFont="1" applyFill="1" applyBorder="1" applyAlignment="1">
      <alignment horizontal="center" vertical="center" wrapText="1"/>
    </xf>
    <xf numFmtId="0" fontId="73" fillId="26" borderId="3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3" fillId="30" borderId="83" xfId="0" applyFont="1" applyFill="1" applyBorder="1" applyAlignment="1">
      <alignment horizontal="center" vertical="center" wrapText="1"/>
    </xf>
    <xf numFmtId="0" fontId="74" fillId="30" borderId="52" xfId="40" applyFont="1" applyFill="1" applyBorder="1" applyAlignment="1">
      <alignment horizontal="center" vertical="center" wrapText="1"/>
    </xf>
    <xf numFmtId="0" fontId="73" fillId="30" borderId="33" xfId="0" applyFont="1" applyFill="1" applyBorder="1" applyAlignment="1">
      <alignment horizontal="center" vertical="center" wrapText="1"/>
    </xf>
    <xf numFmtId="0" fontId="73" fillId="33" borderId="83" xfId="0" applyFont="1" applyFill="1" applyBorder="1" applyAlignment="1">
      <alignment horizontal="center" vertical="center" wrapText="1"/>
    </xf>
    <xf numFmtId="0" fontId="74" fillId="0" borderId="51" xfId="40" applyFont="1" applyBorder="1" applyAlignment="1">
      <alignment horizontal="center" vertical="center" wrapText="1"/>
    </xf>
    <xf numFmtId="0" fontId="76" fillId="32" borderId="48" xfId="40" applyFont="1" applyFill="1" applyBorder="1" applyAlignment="1">
      <alignment horizontal="center" vertical="center" wrapText="1"/>
    </xf>
    <xf numFmtId="0" fontId="76" fillId="32" borderId="49" xfId="40" applyFont="1" applyFill="1" applyBorder="1" applyAlignment="1">
      <alignment horizontal="center" vertical="center" wrapText="1"/>
    </xf>
    <xf numFmtId="0" fontId="76" fillId="32" borderId="50" xfId="40" applyFont="1" applyFill="1" applyBorder="1" applyAlignment="1">
      <alignment horizontal="center" vertical="center" wrapText="1"/>
    </xf>
    <xf numFmtId="0" fontId="76" fillId="32" borderId="18" xfId="40" applyFont="1" applyFill="1" applyBorder="1" applyAlignment="1">
      <alignment horizontal="center" vertical="center" wrapText="1"/>
    </xf>
    <xf numFmtId="0" fontId="77" fillId="25" borderId="32" xfId="0" applyFont="1" applyFill="1" applyBorder="1" applyAlignment="1">
      <alignment horizontal="center" vertical="center" wrapText="1"/>
    </xf>
    <xf numFmtId="0" fontId="77" fillId="25" borderId="84" xfId="0" applyFont="1" applyFill="1" applyBorder="1" applyAlignment="1">
      <alignment horizontal="center" vertical="center" wrapText="1"/>
    </xf>
    <xf numFmtId="0" fontId="78" fillId="0" borderId="10" xfId="0" applyFont="1" applyBorder="1"/>
    <xf numFmtId="0" fontId="78" fillId="0" borderId="14" xfId="0" applyFont="1" applyBorder="1"/>
    <xf numFmtId="4" fontId="41" fillId="29" borderId="10" xfId="0" applyNumberFormat="1" applyFont="1" applyFill="1" applyBorder="1" applyAlignment="1">
      <alignment horizontal="center" vertical="center" wrapText="1"/>
    </xf>
    <xf numFmtId="4" fontId="41" fillId="29" borderId="10" xfId="34" applyNumberFormat="1" applyFont="1" applyFill="1" applyBorder="1" applyAlignment="1">
      <alignment horizontal="center" vertical="center" wrapText="1"/>
    </xf>
    <xf numFmtId="4" fontId="49" fillId="29" borderId="10" xfId="34" applyNumberFormat="1" applyFont="1" applyFill="1" applyBorder="1" applyAlignment="1">
      <alignment horizontal="center" vertical="center" wrapText="1"/>
    </xf>
    <xf numFmtId="4" fontId="49" fillId="29" borderId="10" xfId="0" applyNumberFormat="1" applyFont="1" applyFill="1" applyBorder="1" applyAlignment="1">
      <alignment horizontal="center" vertical="center" wrapText="1"/>
    </xf>
    <xf numFmtId="3" fontId="0" fillId="26" borderId="10" xfId="0" applyNumberFormat="1" applyFill="1" applyBorder="1" applyAlignment="1">
      <alignment horizontal="center" vertical="center"/>
    </xf>
    <xf numFmtId="4" fontId="73" fillId="27" borderId="80" xfId="71" applyNumberFormat="1" applyFont="1" applyFill="1" applyBorder="1" applyAlignment="1">
      <alignment horizontal="center" vertical="center" wrapText="1"/>
    </xf>
    <xf numFmtId="4" fontId="73" fillId="0" borderId="73" xfId="71" applyNumberFormat="1" applyFont="1" applyFill="1" applyBorder="1" applyAlignment="1">
      <alignment horizontal="center" vertical="center" wrapText="1"/>
    </xf>
    <xf numFmtId="4" fontId="73" fillId="0" borderId="63" xfId="71" applyNumberFormat="1" applyFont="1" applyBorder="1" applyAlignment="1">
      <alignment horizontal="center" vertical="center" wrapText="1"/>
    </xf>
    <xf numFmtId="4" fontId="73" fillId="0" borderId="51" xfId="71" applyNumberFormat="1" applyFont="1" applyBorder="1" applyAlignment="1">
      <alignment horizontal="center" vertical="center" wrapText="1"/>
    </xf>
    <xf numFmtId="4" fontId="73" fillId="0" borderId="73" xfId="71" applyNumberFormat="1" applyFont="1" applyBorder="1" applyAlignment="1">
      <alignment horizontal="center" vertical="center" wrapText="1"/>
    </xf>
    <xf numFmtId="4" fontId="73" fillId="0" borderId="63" xfId="71" applyNumberFormat="1" applyFont="1" applyFill="1" applyBorder="1" applyAlignment="1">
      <alignment horizontal="center" vertical="center" wrapText="1"/>
    </xf>
    <xf numFmtId="4" fontId="73" fillId="0" borderId="51" xfId="71" applyNumberFormat="1" applyFont="1" applyFill="1" applyBorder="1" applyAlignment="1">
      <alignment horizontal="center" vertical="center" wrapText="1"/>
    </xf>
    <xf numFmtId="4" fontId="73" fillId="0" borderId="63" xfId="71" quotePrefix="1" applyNumberFormat="1" applyFont="1" applyBorder="1" applyAlignment="1">
      <alignment horizontal="center" vertical="center" wrapText="1"/>
    </xf>
    <xf numFmtId="4" fontId="73" fillId="0" borderId="51" xfId="71" quotePrefix="1" applyNumberFormat="1" applyFont="1" applyBorder="1" applyAlignment="1">
      <alignment horizontal="center" vertical="center" wrapText="1"/>
    </xf>
    <xf numFmtId="4" fontId="73" fillId="0" borderId="51" xfId="71" quotePrefix="1" applyNumberFormat="1" applyFont="1" applyFill="1" applyBorder="1" applyAlignment="1">
      <alignment horizontal="center" vertical="center" wrapText="1"/>
    </xf>
    <xf numFmtId="4" fontId="73" fillId="27" borderId="74" xfId="71" applyNumberFormat="1" applyFont="1" applyFill="1" applyBorder="1" applyAlignment="1">
      <alignment horizontal="center" vertical="center" wrapText="1"/>
    </xf>
    <xf numFmtId="4" fontId="73" fillId="0" borderId="49" xfId="45" applyNumberFormat="1" applyFont="1" applyBorder="1" applyAlignment="1">
      <alignment horizontal="center" vertical="center"/>
    </xf>
    <xf numFmtId="4" fontId="72" fillId="0" borderId="0" xfId="45" applyNumberFormat="1" applyFont="1" applyAlignment="1">
      <alignment horizontal="center"/>
    </xf>
    <xf numFmtId="4" fontId="71" fillId="0" borderId="0" xfId="45" applyNumberFormat="1" applyFont="1" applyAlignment="1">
      <alignment horizontal="right"/>
    </xf>
    <xf numFmtId="4" fontId="71" fillId="0" borderId="0" xfId="45" applyNumberFormat="1" applyFont="1" applyAlignment="1">
      <alignment horizontal="center"/>
    </xf>
    <xf numFmtId="4" fontId="72" fillId="26" borderId="67" xfId="0" applyNumberFormat="1" applyFont="1" applyFill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4" xfId="0" applyFont="1" applyBorder="1" applyAlignment="1">
      <alignment horizontal="center" vertical="center"/>
    </xf>
    <xf numFmtId="0" fontId="63" fillId="29" borderId="14" xfId="0" applyFont="1" applyFill="1" applyBorder="1" applyAlignment="1">
      <alignment horizontal="center" vertical="center" wrapText="1"/>
    </xf>
    <xf numFmtId="0" fontId="63" fillId="0" borderId="14" xfId="0" applyFont="1" applyBorder="1" applyAlignment="1">
      <alignment horizontal="center" vertical="center" wrapText="1"/>
    </xf>
    <xf numFmtId="4" fontId="74" fillId="27" borderId="79" xfId="71" applyNumberFormat="1" applyFont="1" applyFill="1" applyBorder="1" applyAlignment="1">
      <alignment horizontal="center" vertical="center" wrapText="1"/>
    </xf>
    <xf numFmtId="4" fontId="74" fillId="27" borderId="62" xfId="71" applyNumberFormat="1" applyFont="1" applyFill="1" applyBorder="1" applyAlignment="1">
      <alignment horizontal="center" vertical="center" wrapText="1"/>
    </xf>
    <xf numFmtId="4" fontId="74" fillId="27" borderId="80" xfId="71" applyNumberFormat="1" applyFont="1" applyFill="1" applyBorder="1" applyAlignment="1">
      <alignment horizontal="center" vertical="center" wrapText="1"/>
    </xf>
    <xf numFmtId="4" fontId="74" fillId="27" borderId="75" xfId="71" applyNumberFormat="1" applyFont="1" applyFill="1" applyBorder="1" applyAlignment="1">
      <alignment horizontal="center" vertical="center" wrapText="1"/>
    </xf>
    <xf numFmtId="4" fontId="74" fillId="27" borderId="65" xfId="71" applyNumberFormat="1" applyFont="1" applyFill="1" applyBorder="1" applyAlignment="1">
      <alignment horizontal="center" vertical="center" wrapText="1"/>
    </xf>
    <xf numFmtId="4" fontId="74" fillId="27" borderId="74" xfId="71" applyNumberFormat="1" applyFont="1" applyFill="1" applyBorder="1" applyAlignment="1">
      <alignment horizontal="center" vertical="center" wrapText="1"/>
    </xf>
    <xf numFmtId="0" fontId="74" fillId="0" borderId="51" xfId="0" applyFont="1" applyBorder="1" applyAlignment="1">
      <alignment wrapText="1"/>
    </xf>
    <xf numFmtId="8" fontId="0" fillId="0" borderId="43" xfId="0" applyNumberFormat="1" applyBorder="1"/>
    <xf numFmtId="0" fontId="9" fillId="0" borderId="39" xfId="0" applyFont="1" applyBorder="1"/>
    <xf numFmtId="0" fontId="3" fillId="0" borderId="27" xfId="0" applyFont="1" applyBorder="1" applyAlignment="1">
      <alignment wrapText="1"/>
    </xf>
    <xf numFmtId="0" fontId="5" fillId="0" borderId="27" xfId="0" applyFont="1" applyBorder="1"/>
    <xf numFmtId="0" fontId="5" fillId="60" borderId="27" xfId="0" applyFont="1" applyFill="1" applyBorder="1"/>
    <xf numFmtId="0" fontId="80" fillId="0" borderId="27" xfId="0" applyFont="1" applyBorder="1" applyAlignment="1">
      <alignment wrapText="1"/>
    </xf>
    <xf numFmtId="0" fontId="80" fillId="0" borderId="43" xfId="0" applyFont="1" applyBorder="1"/>
    <xf numFmtId="8" fontId="80" fillId="0" borderId="43" xfId="0" applyNumberFormat="1" applyFont="1" applyBorder="1"/>
    <xf numFmtId="0" fontId="81" fillId="0" borderId="0" xfId="0" applyFont="1"/>
    <xf numFmtId="0" fontId="81" fillId="0" borderId="10" xfId="0" applyFont="1" applyBorder="1" applyAlignment="1">
      <alignment wrapText="1"/>
    </xf>
    <xf numFmtId="0" fontId="81" fillId="0" borderId="15" xfId="0" applyFont="1" applyBorder="1" applyAlignment="1">
      <alignment wrapText="1"/>
    </xf>
    <xf numFmtId="0" fontId="81" fillId="0" borderId="14" xfId="0" applyFont="1" applyBorder="1"/>
    <xf numFmtId="0" fontId="5" fillId="58" borderId="43" xfId="0" applyFont="1" applyFill="1" applyBorder="1" applyAlignment="1">
      <alignment horizontal="center" vertical="center" wrapText="1"/>
    </xf>
    <xf numFmtId="0" fontId="5" fillId="58" borderId="43" xfId="0" applyFont="1" applyFill="1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8" fontId="56" fillId="61" borderId="15" xfId="0" applyNumberFormat="1" applyFont="1" applyFill="1" applyBorder="1" applyAlignment="1">
      <alignment horizontal="center" vertical="center"/>
    </xf>
    <xf numFmtId="8" fontId="81" fillId="61" borderId="43" xfId="0" applyNumberFormat="1" applyFont="1" applyFill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/>
    </xf>
    <xf numFmtId="0" fontId="82" fillId="0" borderId="0" xfId="0" applyFont="1"/>
    <xf numFmtId="167" fontId="46" fillId="28" borderId="10" xfId="0" applyNumberFormat="1" applyFont="1" applyFill="1" applyBorder="1" applyAlignment="1">
      <alignment horizontal="center" vertical="center"/>
    </xf>
    <xf numFmtId="0" fontId="79" fillId="26" borderId="33" xfId="74" applyFill="1" applyBorder="1" applyAlignment="1" applyProtection="1">
      <alignment horizontal="center" vertical="center" wrapText="1"/>
    </xf>
    <xf numFmtId="0" fontId="79" fillId="0" borderId="33" xfId="74" applyBorder="1" applyAlignment="1" applyProtection="1">
      <alignment horizontal="center" vertical="center" wrapText="1"/>
    </xf>
    <xf numFmtId="0" fontId="79" fillId="30" borderId="33" xfId="74" applyFill="1" applyBorder="1" applyAlignment="1">
      <alignment horizontal="center" vertical="center" wrapText="1"/>
    </xf>
    <xf numFmtId="4" fontId="11" fillId="29" borderId="15" xfId="0" applyNumberFormat="1" applyFont="1" applyFill="1" applyBorder="1" applyAlignment="1">
      <alignment horizontal="center" vertical="center"/>
    </xf>
    <xf numFmtId="4" fontId="11" fillId="29" borderId="11" xfId="0" applyNumberFormat="1" applyFont="1" applyFill="1" applyBorder="1" applyAlignment="1">
      <alignment horizontal="center" vertical="center"/>
    </xf>
    <xf numFmtId="0" fontId="0" fillId="26" borderId="0" xfId="0" applyFill="1"/>
    <xf numFmtId="4" fontId="0" fillId="26" borderId="0" xfId="0" applyNumberFormat="1" applyFill="1"/>
    <xf numFmtId="9" fontId="0" fillId="0" borderId="0" xfId="75" applyFont="1"/>
    <xf numFmtId="166" fontId="6" fillId="0" borderId="0" xfId="31" applyFont="1"/>
    <xf numFmtId="4" fontId="6" fillId="0" borderId="0" xfId="0" applyNumberFormat="1" applyFont="1"/>
    <xf numFmtId="43" fontId="6" fillId="0" borderId="0" xfId="0" applyNumberFormat="1" applyFont="1"/>
    <xf numFmtId="0" fontId="0" fillId="0" borderId="47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5" fillId="31" borderId="12" xfId="45" applyFont="1" applyFill="1" applyBorder="1" applyAlignment="1">
      <alignment horizontal="center" vertical="center"/>
    </xf>
    <xf numFmtId="0" fontId="5" fillId="31" borderId="11" xfId="45" applyFont="1" applyFill="1" applyBorder="1" applyAlignment="1">
      <alignment horizontal="center" vertical="center"/>
    </xf>
    <xf numFmtId="0" fontId="5" fillId="31" borderId="15" xfId="45" applyFont="1" applyFill="1" applyBorder="1" applyAlignment="1">
      <alignment horizontal="center" vertical="center"/>
    </xf>
    <xf numFmtId="0" fontId="66" fillId="0" borderId="13" xfId="45" applyFont="1" applyBorder="1" applyAlignment="1">
      <alignment horizontal="left" vertical="center" wrapText="1"/>
    </xf>
    <xf numFmtId="0" fontId="5" fillId="0" borderId="13" xfId="45" applyFont="1" applyBorder="1" applyAlignment="1">
      <alignment horizontal="left" vertical="center" wrapText="1"/>
    </xf>
    <xf numFmtId="0" fontId="5" fillId="0" borderId="0" xfId="45" applyFont="1" applyAlignment="1">
      <alignment horizontal="left" vertical="center" wrapText="1"/>
    </xf>
    <xf numFmtId="0" fontId="5" fillId="0" borderId="0" xfId="45" applyFont="1" applyAlignment="1">
      <alignment horizontal="left" vertical="justify" wrapText="1"/>
    </xf>
    <xf numFmtId="0" fontId="7" fillId="0" borderId="40" xfId="45" applyFont="1" applyBorder="1" applyAlignment="1">
      <alignment horizontal="center" vertical="center"/>
    </xf>
    <xf numFmtId="0" fontId="7" fillId="0" borderId="35" xfId="45" applyFont="1" applyBorder="1" applyAlignment="1">
      <alignment horizontal="center" vertical="center"/>
    </xf>
    <xf numFmtId="0" fontId="7" fillId="0" borderId="41" xfId="45" applyFont="1" applyBorder="1" applyAlignment="1">
      <alignment horizontal="center" vertical="center"/>
    </xf>
    <xf numFmtId="0" fontId="5" fillId="46" borderId="22" xfId="45" applyFont="1" applyFill="1" applyBorder="1" applyAlignment="1">
      <alignment horizontal="center"/>
    </xf>
    <xf numFmtId="0" fontId="5" fillId="46" borderId="20" xfId="45" applyFont="1" applyFill="1" applyBorder="1" applyAlignment="1">
      <alignment horizontal="center"/>
    </xf>
    <xf numFmtId="0" fontId="5" fillId="46" borderId="17" xfId="45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5" fillId="0" borderId="0" xfId="45" applyFont="1" applyAlignment="1">
      <alignment horizontal="center" vertical="center"/>
    </xf>
    <xf numFmtId="0" fontId="59" fillId="0" borderId="0" xfId="45" applyFont="1" applyAlignment="1">
      <alignment horizontal="left" vertical="justify" wrapText="1"/>
    </xf>
    <xf numFmtId="0" fontId="6" fillId="0" borderId="0" xfId="45" applyAlignment="1">
      <alignment horizontal="center"/>
    </xf>
    <xf numFmtId="0" fontId="7" fillId="0" borderId="60" xfId="45" applyFont="1" applyBorder="1" applyAlignment="1">
      <alignment horizontal="center" vertical="center" wrapText="1"/>
    </xf>
    <xf numFmtId="0" fontId="5" fillId="0" borderId="0" xfId="45" applyFont="1" applyAlignment="1">
      <alignment horizontal="justify" vertical="justify" wrapText="1"/>
    </xf>
    <xf numFmtId="0" fontId="40" fillId="39" borderId="54" xfId="51" applyFill="1" applyBorder="1" applyAlignment="1">
      <alignment horizontal="center" vertical="center"/>
    </xf>
    <xf numFmtId="0" fontId="40" fillId="39" borderId="0" xfId="51" applyFill="1" applyAlignment="1">
      <alignment horizontal="center" vertical="center"/>
    </xf>
    <xf numFmtId="43" fontId="40" fillId="39" borderId="54" xfId="51" applyNumberFormat="1" applyFill="1" applyBorder="1" applyAlignment="1">
      <alignment horizontal="center" vertical="center"/>
    </xf>
    <xf numFmtId="43" fontId="40" fillId="39" borderId="0" xfId="51" applyNumberFormat="1" applyFill="1" applyAlignment="1">
      <alignment horizontal="center" vertical="center"/>
    </xf>
    <xf numFmtId="0" fontId="40" fillId="53" borderId="0" xfId="51" applyFill="1" applyAlignment="1">
      <alignment horizontal="center" vertical="center"/>
    </xf>
    <xf numFmtId="43" fontId="40" fillId="53" borderId="0" xfId="51" applyNumberFormat="1" applyFill="1" applyAlignment="1">
      <alignment horizontal="center" vertical="center"/>
    </xf>
    <xf numFmtId="0" fontId="40" fillId="54" borderId="0" xfId="51" applyFill="1" applyAlignment="1">
      <alignment horizontal="center" vertical="center"/>
    </xf>
    <xf numFmtId="43" fontId="40" fillId="54" borderId="0" xfId="51" applyNumberFormat="1" applyFill="1" applyAlignment="1">
      <alignment horizontal="center" vertical="center"/>
    </xf>
    <xf numFmtId="0" fontId="40" fillId="0" borderId="0" xfId="51" applyAlignment="1">
      <alignment horizontal="left" vertical="top" wrapText="1"/>
    </xf>
    <xf numFmtId="0" fontId="40" fillId="0" borderId="0" xfId="51" applyAlignment="1">
      <alignment horizontal="left" vertical="top"/>
    </xf>
    <xf numFmtId="0" fontId="40" fillId="0" borderId="0" xfId="51" applyAlignment="1">
      <alignment horizontal="right" vertical="top"/>
    </xf>
    <xf numFmtId="0" fontId="69" fillId="27" borderId="64" xfId="51" applyFont="1" applyFill="1" applyBorder="1" applyAlignment="1">
      <alignment horizontal="center" vertical="center" textRotation="90" wrapText="1"/>
    </xf>
    <xf numFmtId="0" fontId="69" fillId="27" borderId="72" xfId="51" applyFont="1" applyFill="1" applyBorder="1" applyAlignment="1">
      <alignment horizontal="center" vertical="center" textRotation="90" wrapText="1"/>
    </xf>
    <xf numFmtId="0" fontId="70" fillId="52" borderId="54" xfId="51" applyFont="1" applyFill="1" applyBorder="1" applyAlignment="1">
      <alignment horizontal="center" vertical="center" wrapText="1"/>
    </xf>
    <xf numFmtId="0" fontId="70" fillId="52" borderId="69" xfId="51" applyFont="1" applyFill="1" applyBorder="1" applyAlignment="1">
      <alignment horizontal="center" vertical="center" wrapText="1"/>
    </xf>
    <xf numFmtId="0" fontId="70" fillId="52" borderId="70" xfId="51" applyFont="1" applyFill="1" applyBorder="1" applyAlignment="1">
      <alignment horizontal="center" vertical="center" wrapText="1"/>
    </xf>
    <xf numFmtId="0" fontId="70" fillId="53" borderId="54" xfId="51" applyFont="1" applyFill="1" applyBorder="1" applyAlignment="1">
      <alignment horizontal="center" vertical="center" wrapText="1"/>
    </xf>
    <xf numFmtId="0" fontId="70" fillId="53" borderId="55" xfId="51" applyFont="1" applyFill="1" applyBorder="1" applyAlignment="1">
      <alignment horizontal="center" vertical="center" wrapText="1"/>
    </xf>
    <xf numFmtId="0" fontId="69" fillId="49" borderId="55" xfId="51" applyFont="1" applyFill="1" applyBorder="1" applyAlignment="1">
      <alignment horizontal="center" vertical="center" wrapText="1"/>
    </xf>
    <xf numFmtId="0" fontId="69" fillId="49" borderId="49" xfId="51" applyFont="1" applyFill="1" applyBorder="1" applyAlignment="1">
      <alignment horizontal="center" vertical="center" wrapText="1"/>
    </xf>
    <xf numFmtId="0" fontId="69" fillId="27" borderId="81" xfId="51" applyFont="1" applyFill="1" applyBorder="1" applyAlignment="1">
      <alignment horizontal="center" vertical="center" wrapText="1"/>
    </xf>
    <xf numFmtId="0" fontId="69" fillId="27" borderId="71" xfId="51" applyFont="1" applyFill="1" applyBorder="1" applyAlignment="1">
      <alignment horizontal="center" vertical="center" wrapText="1"/>
    </xf>
    <xf numFmtId="0" fontId="69" fillId="27" borderId="76" xfId="51" applyFont="1" applyFill="1" applyBorder="1" applyAlignment="1">
      <alignment horizontal="center" vertical="center" wrapText="1"/>
    </xf>
    <xf numFmtId="0" fontId="69" fillId="27" borderId="82" xfId="51" applyFont="1" applyFill="1" applyBorder="1" applyAlignment="1">
      <alignment horizontal="center" vertical="center" wrapText="1"/>
    </xf>
    <xf numFmtId="0" fontId="69" fillId="54" borderId="54" xfId="51" applyFont="1" applyFill="1" applyBorder="1" applyAlignment="1">
      <alignment horizontal="center" vertical="center" wrapText="1"/>
    </xf>
    <xf numFmtId="0" fontId="69" fillId="54" borderId="55" xfId="51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45" fillId="0" borderId="12" xfId="0" applyFont="1" applyBorder="1" applyAlignment="1">
      <alignment horizontal="center" vertical="center" wrapText="1"/>
    </xf>
    <xf numFmtId="0" fontId="45" fillId="0" borderId="15" xfId="0" applyFont="1" applyBorder="1" applyAlignment="1">
      <alignment horizontal="center" vertical="center" wrapText="1"/>
    </xf>
    <xf numFmtId="0" fontId="5" fillId="38" borderId="12" xfId="0" applyFont="1" applyFill="1" applyBorder="1" applyAlignment="1">
      <alignment horizontal="center"/>
    </xf>
    <xf numFmtId="0" fontId="5" fillId="38" borderId="11" xfId="0" applyFont="1" applyFill="1" applyBorder="1" applyAlignment="1">
      <alignment horizontal="center"/>
    </xf>
    <xf numFmtId="0" fontId="5" fillId="38" borderId="15" xfId="0" applyFont="1" applyFill="1" applyBorder="1" applyAlignment="1">
      <alignment horizontal="center"/>
    </xf>
    <xf numFmtId="0" fontId="56" fillId="59" borderId="12" xfId="0" applyFont="1" applyFill="1" applyBorder="1" applyAlignment="1">
      <alignment wrapText="1"/>
    </xf>
    <xf numFmtId="0" fontId="56" fillId="59" borderId="11" xfId="0" applyFont="1" applyFill="1" applyBorder="1" applyAlignment="1">
      <alignment wrapText="1"/>
    </xf>
    <xf numFmtId="0" fontId="56" fillId="59" borderId="59" xfId="0" applyFont="1" applyFill="1" applyBorder="1" applyAlignment="1">
      <alignment wrapText="1"/>
    </xf>
    <xf numFmtId="0" fontId="11" fillId="57" borderId="12" xfId="0" applyFont="1" applyFill="1" applyBorder="1" applyAlignment="1">
      <alignment horizontal="center"/>
    </xf>
    <xf numFmtId="0" fontId="11" fillId="57" borderId="11" xfId="0" applyFont="1" applyFill="1" applyBorder="1" applyAlignment="1">
      <alignment horizontal="center"/>
    </xf>
    <xf numFmtId="0" fontId="11" fillId="57" borderId="15" xfId="0" applyFont="1" applyFill="1" applyBorder="1" applyAlignment="1">
      <alignment horizontal="center"/>
    </xf>
    <xf numFmtId="0" fontId="10" fillId="58" borderId="16" xfId="0" applyFont="1" applyFill="1" applyBorder="1" applyAlignment="1">
      <alignment horizontal="center" vertical="center" textRotation="89" wrapText="1"/>
    </xf>
    <xf numFmtId="0" fontId="10" fillId="58" borderId="14" xfId="0" applyFont="1" applyFill="1" applyBorder="1" applyAlignment="1">
      <alignment horizontal="center" vertical="center" textRotation="89" wrapText="1"/>
    </xf>
    <xf numFmtId="0" fontId="5" fillId="58" borderId="40" xfId="0" applyFont="1" applyFill="1" applyBorder="1" applyAlignment="1">
      <alignment horizontal="center" vertical="center" wrapText="1"/>
    </xf>
    <xf numFmtId="0" fontId="5" fillId="58" borderId="35" xfId="0" applyFont="1" applyFill="1" applyBorder="1" applyAlignment="1">
      <alignment horizontal="center" vertical="center" wrapText="1"/>
    </xf>
    <xf numFmtId="0" fontId="5" fillId="58" borderId="86" xfId="0" applyFont="1" applyFill="1" applyBorder="1" applyAlignment="1">
      <alignment horizontal="center" vertical="center" wrapText="1"/>
    </xf>
    <xf numFmtId="0" fontId="5" fillId="58" borderId="87" xfId="0" applyFont="1" applyFill="1" applyBorder="1" applyAlignment="1">
      <alignment horizontal="center" vertical="center" wrapText="1"/>
    </xf>
    <xf numFmtId="0" fontId="5" fillId="58" borderId="85" xfId="0" applyFont="1" applyFill="1" applyBorder="1" applyAlignment="1">
      <alignment horizontal="center" vertical="center" wrapText="1"/>
    </xf>
    <xf numFmtId="0" fontId="5" fillId="58" borderId="79" xfId="0" applyFont="1" applyFill="1" applyBorder="1" applyAlignment="1">
      <alignment horizontal="center" vertical="center" wrapText="1"/>
    </xf>
    <xf numFmtId="0" fontId="5" fillId="58" borderId="11" xfId="0" applyFont="1" applyFill="1" applyBorder="1" applyAlignment="1">
      <alignment horizontal="center" vertical="center" wrapText="1"/>
    </xf>
    <xf numFmtId="0" fontId="5" fillId="58" borderId="59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59" xfId="0" applyFont="1" applyBorder="1" applyAlignment="1">
      <alignment wrapText="1"/>
    </xf>
    <xf numFmtId="0" fontId="0" fillId="60" borderId="11" xfId="0" applyFill="1" applyBorder="1" applyAlignment="1">
      <alignment horizontal="center"/>
    </xf>
    <xf numFmtId="0" fontId="0" fillId="60" borderId="59" xfId="0" applyFill="1" applyBorder="1" applyAlignment="1">
      <alignment horizontal="center"/>
    </xf>
    <xf numFmtId="0" fontId="81" fillId="0" borderId="26" xfId="0" applyFont="1" applyBorder="1"/>
    <xf numFmtId="0" fontId="81" fillId="0" borderId="0" xfId="0" applyFont="1"/>
    <xf numFmtId="0" fontId="11" fillId="37" borderId="72" xfId="0" applyFont="1" applyFill="1" applyBorder="1" applyAlignment="1">
      <alignment horizontal="center"/>
    </xf>
    <xf numFmtId="0" fontId="11" fillId="37" borderId="89" xfId="0" applyFont="1" applyFill="1" applyBorder="1" applyAlignment="1">
      <alignment horizontal="center"/>
    </xf>
    <xf numFmtId="0" fontId="11" fillId="37" borderId="90" xfId="0" applyFont="1" applyFill="1" applyBorder="1" applyAlignment="1">
      <alignment horizontal="center"/>
    </xf>
    <xf numFmtId="0" fontId="11" fillId="37" borderId="64" xfId="0" applyFont="1" applyFill="1" applyBorder="1" applyAlignment="1">
      <alignment horizontal="center"/>
    </xf>
    <xf numFmtId="0" fontId="11" fillId="37" borderId="88" xfId="0" applyFont="1" applyFill="1" applyBorder="1" applyAlignment="1">
      <alignment horizontal="center"/>
    </xf>
    <xf numFmtId="0" fontId="11" fillId="37" borderId="63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0" borderId="12" xfId="0" applyNumberFormat="1" applyFont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" fontId="5" fillId="0" borderId="12" xfId="69" quotePrefix="1" applyNumberFormat="1" applyFont="1" applyBorder="1" applyAlignment="1">
      <alignment horizontal="center"/>
    </xf>
    <xf numFmtId="1" fontId="5" fillId="0" borderId="15" xfId="69" quotePrefix="1" applyNumberFormat="1" applyFont="1" applyBorder="1" applyAlignment="1">
      <alignment horizontal="center"/>
    </xf>
    <xf numFmtId="0" fontId="33" fillId="0" borderId="23" xfId="50" applyFont="1" applyBorder="1" applyAlignment="1" applyProtection="1">
      <alignment horizontal="center"/>
      <protection locked="0"/>
    </xf>
    <xf numFmtId="0" fontId="33" fillId="0" borderId="0" xfId="50" applyFont="1" applyAlignment="1" applyProtection="1">
      <alignment horizontal="center"/>
      <protection locked="0"/>
    </xf>
    <xf numFmtId="0" fontId="33" fillId="0" borderId="19" xfId="50" applyFont="1" applyBorder="1" applyAlignment="1" applyProtection="1">
      <alignment horizontal="center"/>
      <protection locked="0"/>
    </xf>
    <xf numFmtId="0" fontId="7" fillId="0" borderId="23" xfId="50" applyFont="1" applyBorder="1" applyAlignment="1" applyProtection="1">
      <alignment horizontal="center"/>
      <protection locked="0"/>
    </xf>
    <xf numFmtId="0" fontId="7" fillId="0" borderId="0" xfId="50" applyFont="1" applyAlignment="1" applyProtection="1">
      <alignment horizontal="center"/>
      <protection locked="0"/>
    </xf>
    <xf numFmtId="0" fontId="7" fillId="0" borderId="19" xfId="50" applyFont="1" applyBorder="1" applyAlignment="1" applyProtection="1">
      <alignment horizontal="center"/>
      <protection locked="0"/>
    </xf>
    <xf numFmtId="0" fontId="67" fillId="0" borderId="52" xfId="0" applyFont="1" applyBorder="1" applyAlignment="1">
      <alignment horizontal="center" vertical="center" wrapText="1"/>
    </xf>
    <xf numFmtId="0" fontId="67" fillId="0" borderId="62" xfId="0" applyFont="1" applyBorder="1" applyAlignment="1">
      <alignment horizontal="center" vertical="center" wrapText="1"/>
    </xf>
    <xf numFmtId="0" fontId="67" fillId="29" borderId="64" xfId="0" applyFont="1" applyFill="1" applyBorder="1" applyAlignment="1">
      <alignment horizontal="left" vertical="center" wrapText="1"/>
    </xf>
    <xf numFmtId="0" fontId="67" fillId="29" borderId="63" xfId="0" applyFont="1" applyFill="1" applyBorder="1" applyAlignment="1">
      <alignment horizontal="left" vertical="center" wrapText="1"/>
    </xf>
    <xf numFmtId="0" fontId="5" fillId="28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24" borderId="0" xfId="0" applyFont="1" applyFill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33" borderId="51" xfId="0" applyFill="1" applyBorder="1" applyAlignment="1">
      <alignment horizontal="center" vertical="center" wrapText="1"/>
    </xf>
    <xf numFmtId="0" fontId="0" fillId="0" borderId="51" xfId="0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26" xfId="0" applyFont="1" applyBorder="1" applyAlignment="1">
      <alignment horizontal="center" vertical="center"/>
    </xf>
    <xf numFmtId="0" fontId="34" fillId="48" borderId="0" xfId="0" applyFont="1" applyFill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33" borderId="12" xfId="0" applyFont="1" applyFill="1" applyBorder="1" applyAlignment="1">
      <alignment horizontal="center" vertical="center" wrapText="1"/>
    </xf>
    <xf numFmtId="0" fontId="6" fillId="33" borderId="15" xfId="0" applyFont="1" applyFill="1" applyBorder="1" applyAlignment="1">
      <alignment horizontal="center" vertical="center" wrapText="1"/>
    </xf>
    <xf numFmtId="0" fontId="6" fillId="49" borderId="10" xfId="0" applyFont="1" applyFill="1" applyBorder="1" applyAlignment="1">
      <alignment horizontal="center" vertical="center" wrapText="1"/>
    </xf>
    <xf numFmtId="0" fontId="6" fillId="49" borderId="10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57" fillId="0" borderId="11" xfId="0" applyFont="1" applyBorder="1" applyAlignment="1">
      <alignment horizontal="center" vertical="center" wrapText="1"/>
    </xf>
    <xf numFmtId="0" fontId="5" fillId="40" borderId="12" xfId="0" applyFont="1" applyFill="1" applyBorder="1" applyAlignment="1">
      <alignment horizontal="center" vertical="center" wrapText="1"/>
    </xf>
    <xf numFmtId="0" fontId="5" fillId="40" borderId="11" xfId="0" applyFont="1" applyFill="1" applyBorder="1" applyAlignment="1">
      <alignment horizontal="center" vertical="center" wrapText="1"/>
    </xf>
    <xf numFmtId="0" fontId="5" fillId="40" borderId="15" xfId="0" applyFont="1" applyFill="1" applyBorder="1" applyAlignment="1">
      <alignment horizontal="center" vertical="center" wrapText="1"/>
    </xf>
    <xf numFmtId="0" fontId="5" fillId="40" borderId="12" xfId="0" applyFont="1" applyFill="1" applyBorder="1" applyAlignment="1">
      <alignment horizontal="left" vertical="center" wrapText="1"/>
    </xf>
    <xf numFmtId="0" fontId="5" fillId="40" borderId="11" xfId="0" applyFont="1" applyFill="1" applyBorder="1" applyAlignment="1">
      <alignment horizontal="left" vertical="center" wrapText="1"/>
    </xf>
    <xf numFmtId="0" fontId="5" fillId="40" borderId="15" xfId="0" applyFont="1" applyFill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9" fontId="46" fillId="28" borderId="12" xfId="0" applyNumberFormat="1" applyFont="1" applyFill="1" applyBorder="1" applyAlignment="1">
      <alignment horizontal="center" vertical="center" wrapText="1"/>
    </xf>
    <xf numFmtId="49" fontId="46" fillId="28" borderId="15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7" fontId="58" fillId="0" borderId="12" xfId="0" applyNumberFormat="1" applyFont="1" applyBorder="1" applyAlignment="1">
      <alignment horizontal="center" vertical="center" wrapText="1"/>
    </xf>
    <xf numFmtId="167" fontId="6" fillId="0" borderId="15" xfId="0" applyNumberFormat="1" applyFont="1" applyBorder="1" applyAlignment="1">
      <alignment horizontal="center" vertical="center" wrapText="1"/>
    </xf>
    <xf numFmtId="167" fontId="6" fillId="33" borderId="12" xfId="0" applyNumberFormat="1" applyFont="1" applyFill="1" applyBorder="1" applyAlignment="1">
      <alignment horizontal="center" vertical="center"/>
    </xf>
    <xf numFmtId="167" fontId="6" fillId="33" borderId="15" xfId="0" applyNumberFormat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47" borderId="12" xfId="0" applyFont="1" applyFill="1" applyBorder="1" applyAlignment="1">
      <alignment horizontal="center" vertical="center" wrapText="1"/>
    </xf>
    <xf numFmtId="0" fontId="5" fillId="47" borderId="11" xfId="0" applyFont="1" applyFill="1" applyBorder="1" applyAlignment="1">
      <alignment horizontal="center" vertical="center" wrapText="1"/>
    </xf>
    <xf numFmtId="0" fontId="5" fillId="47" borderId="15" xfId="0" applyFont="1" applyFill="1" applyBorder="1" applyAlignment="1">
      <alignment horizontal="center" vertical="center" wrapText="1"/>
    </xf>
    <xf numFmtId="0" fontId="0" fillId="0" borderId="12" xfId="0" applyBorder="1" applyAlignment="1" applyProtection="1">
      <alignment horizontal="justify" vertical="center" wrapText="1"/>
      <protection locked="0"/>
    </xf>
    <xf numFmtId="0" fontId="6" fillId="0" borderId="11" xfId="0" applyFont="1" applyBorder="1" applyAlignment="1" applyProtection="1">
      <alignment horizontal="justify" vertical="center" wrapText="1"/>
      <protection locked="0"/>
    </xf>
    <xf numFmtId="0" fontId="6" fillId="0" borderId="15" xfId="0" applyFont="1" applyBorder="1" applyAlignment="1" applyProtection="1">
      <alignment horizontal="justify" vertical="center" wrapText="1"/>
      <protection locked="0"/>
    </xf>
    <xf numFmtId="49" fontId="6" fillId="33" borderId="12" xfId="0" applyNumberFormat="1" applyFont="1" applyFill="1" applyBorder="1" applyAlignment="1">
      <alignment horizontal="center" vertical="center"/>
    </xf>
    <xf numFmtId="49" fontId="6" fillId="33" borderId="15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1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58" fillId="33" borderId="12" xfId="0" applyFont="1" applyFill="1" applyBorder="1" applyAlignment="1">
      <alignment horizontal="justify" vertical="center" wrapText="1"/>
    </xf>
    <xf numFmtId="0" fontId="6" fillId="33" borderId="11" xfId="0" applyFont="1" applyFill="1" applyBorder="1" applyAlignment="1">
      <alignment horizontal="justify" vertical="center" wrapText="1"/>
    </xf>
    <xf numFmtId="0" fontId="6" fillId="33" borderId="15" xfId="0" applyFont="1" applyFill="1" applyBorder="1" applyAlignment="1">
      <alignment horizontal="justify" vertical="center" wrapText="1"/>
    </xf>
    <xf numFmtId="0" fontId="5" fillId="42" borderId="12" xfId="0" applyFont="1" applyFill="1" applyBorder="1" applyAlignment="1">
      <alignment horizontal="center" vertical="center"/>
    </xf>
    <xf numFmtId="0" fontId="5" fillId="42" borderId="11" xfId="0" applyFont="1" applyFill="1" applyBorder="1" applyAlignment="1">
      <alignment horizontal="center" vertical="center"/>
    </xf>
    <xf numFmtId="0" fontId="5" fillId="42" borderId="15" xfId="0" applyFont="1" applyFill="1" applyBorder="1" applyAlignment="1">
      <alignment horizontal="center" vertical="center"/>
    </xf>
    <xf numFmtId="0" fontId="5" fillId="50" borderId="40" xfId="0" applyFont="1" applyFill="1" applyBorder="1" applyAlignment="1">
      <alignment horizontal="center" vertical="center"/>
    </xf>
    <xf numFmtId="0" fontId="5" fillId="50" borderId="35" xfId="0" applyFont="1" applyFill="1" applyBorder="1" applyAlignment="1">
      <alignment horizontal="center" vertical="center"/>
    </xf>
    <xf numFmtId="0" fontId="5" fillId="50" borderId="41" xfId="0" applyFont="1" applyFill="1" applyBorder="1" applyAlignment="1">
      <alignment horizontal="center" vertical="center"/>
    </xf>
    <xf numFmtId="0" fontId="5" fillId="50" borderId="26" xfId="0" applyFont="1" applyFill="1" applyBorder="1" applyAlignment="1">
      <alignment horizontal="center" vertical="center"/>
    </xf>
    <xf numFmtId="0" fontId="5" fillId="50" borderId="0" xfId="0" applyFont="1" applyFill="1" applyAlignment="1">
      <alignment horizontal="center" vertical="center"/>
    </xf>
    <xf numFmtId="0" fontId="5" fillId="50" borderId="42" xfId="0" applyFont="1" applyFill="1" applyBorder="1" applyAlignment="1">
      <alignment horizontal="center" vertical="center"/>
    </xf>
    <xf numFmtId="0" fontId="5" fillId="50" borderId="39" xfId="0" applyFont="1" applyFill="1" applyBorder="1" applyAlignment="1">
      <alignment horizontal="center" vertical="center"/>
    </xf>
    <xf numFmtId="0" fontId="5" fillId="50" borderId="27" xfId="0" applyFont="1" applyFill="1" applyBorder="1" applyAlignment="1">
      <alignment horizontal="center" vertical="center"/>
    </xf>
    <xf numFmtId="0" fontId="5" fillId="50" borderId="43" xfId="0" applyFont="1" applyFill="1" applyBorder="1" applyAlignment="1">
      <alignment horizontal="center" vertical="center"/>
    </xf>
    <xf numFmtId="0" fontId="5" fillId="40" borderId="11" xfId="0" applyFont="1" applyFill="1" applyBorder="1" applyAlignment="1">
      <alignment horizontal="center" vertical="center"/>
    </xf>
    <xf numFmtId="0" fontId="5" fillId="40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5" fillId="42" borderId="12" xfId="0" applyFont="1" applyFill="1" applyBorder="1" applyAlignment="1">
      <alignment horizontal="center" vertical="center" wrapText="1"/>
    </xf>
    <xf numFmtId="0" fontId="5" fillId="42" borderId="11" xfId="0" applyFont="1" applyFill="1" applyBorder="1" applyAlignment="1">
      <alignment horizontal="center" vertical="center" wrapText="1"/>
    </xf>
    <xf numFmtId="0" fontId="5" fillId="42" borderId="15" xfId="0" applyFont="1" applyFill="1" applyBorder="1" applyAlignment="1">
      <alignment horizontal="center" vertical="center" wrapText="1"/>
    </xf>
    <xf numFmtId="0" fontId="58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47" borderId="12" xfId="0" applyFont="1" applyFill="1" applyBorder="1" applyAlignment="1">
      <alignment horizontal="center" vertical="center"/>
    </xf>
    <xf numFmtId="0" fontId="5" fillId="47" borderId="11" xfId="0" applyFont="1" applyFill="1" applyBorder="1" applyAlignment="1">
      <alignment horizontal="center" vertical="center"/>
    </xf>
    <xf numFmtId="0" fontId="5" fillId="47" borderId="15" xfId="0" applyFont="1" applyFill="1" applyBorder="1" applyAlignment="1">
      <alignment horizontal="center" vertical="center"/>
    </xf>
    <xf numFmtId="0" fontId="58" fillId="33" borderId="12" xfId="0" applyFont="1" applyFill="1" applyBorder="1" applyAlignment="1">
      <alignment horizontal="left" vertical="center" wrapText="1"/>
    </xf>
    <xf numFmtId="0" fontId="5" fillId="33" borderId="11" xfId="0" applyFont="1" applyFill="1" applyBorder="1" applyAlignment="1">
      <alignment horizontal="left" vertical="center"/>
    </xf>
    <xf numFmtId="0" fontId="5" fillId="33" borderId="15" xfId="0" applyFont="1" applyFill="1" applyBorder="1" applyAlignment="1">
      <alignment horizontal="left" vertical="center"/>
    </xf>
    <xf numFmtId="0" fontId="5" fillId="42" borderId="12" xfId="0" applyFont="1" applyFill="1" applyBorder="1" applyAlignment="1">
      <alignment horizontal="right" vertical="center"/>
    </xf>
    <xf numFmtId="0" fontId="5" fillId="42" borderId="11" xfId="0" applyFont="1" applyFill="1" applyBorder="1" applyAlignment="1">
      <alignment horizontal="right" vertical="center"/>
    </xf>
    <xf numFmtId="0" fontId="5" fillId="42" borderId="15" xfId="0" applyFont="1" applyFill="1" applyBorder="1" applyAlignment="1">
      <alignment horizontal="right" vertical="center"/>
    </xf>
    <xf numFmtId="0" fontId="5" fillId="40" borderId="10" xfId="0" applyFont="1" applyFill="1" applyBorder="1" applyAlignment="1">
      <alignment horizontal="center" vertical="center" wrapText="1"/>
    </xf>
    <xf numFmtId="0" fontId="5" fillId="40" borderId="10" xfId="0" applyFont="1" applyFill="1" applyBorder="1" applyAlignment="1">
      <alignment horizontal="center" vertical="center"/>
    </xf>
    <xf numFmtId="0" fontId="5" fillId="40" borderId="39" xfId="0" applyFont="1" applyFill="1" applyBorder="1" applyAlignment="1">
      <alignment horizontal="left" vertical="center" wrapText="1"/>
    </xf>
    <xf numFmtId="0" fontId="5" fillId="40" borderId="27" xfId="0" applyFont="1" applyFill="1" applyBorder="1" applyAlignment="1">
      <alignment horizontal="left" vertical="center" wrapText="1"/>
    </xf>
    <xf numFmtId="0" fontId="5" fillId="40" borderId="43" xfId="0" applyFont="1" applyFill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44" fillId="0" borderId="12" xfId="0" applyFont="1" applyBorder="1" applyAlignment="1">
      <alignment horizontal="left" vertical="center" wrapText="1"/>
    </xf>
    <xf numFmtId="0" fontId="44" fillId="0" borderId="11" xfId="0" applyFont="1" applyBorder="1" applyAlignment="1">
      <alignment horizontal="left" vertical="center" wrapText="1"/>
    </xf>
    <xf numFmtId="0" fontId="44" fillId="0" borderId="1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 wrapText="1"/>
    </xf>
    <xf numFmtId="0" fontId="6" fillId="40" borderId="12" xfId="0" applyFont="1" applyFill="1" applyBorder="1" applyAlignment="1">
      <alignment horizontal="left" vertical="center" wrapText="1"/>
    </xf>
    <xf numFmtId="0" fontId="6" fillId="40" borderId="11" xfId="0" applyFont="1" applyFill="1" applyBorder="1" applyAlignment="1">
      <alignment horizontal="left" vertical="center" wrapText="1"/>
    </xf>
    <xf numFmtId="0" fontId="6" fillId="40" borderId="15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33" borderId="12" xfId="0" applyFont="1" applyFill="1" applyBorder="1" applyAlignment="1">
      <alignment horizontal="left" vertical="center" wrapText="1"/>
    </xf>
    <xf numFmtId="0" fontId="6" fillId="33" borderId="11" xfId="0" applyFont="1" applyFill="1" applyBorder="1" applyAlignment="1">
      <alignment horizontal="left" vertical="center"/>
    </xf>
    <xf numFmtId="0" fontId="6" fillId="33" borderId="15" xfId="0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0" fillId="33" borderId="10" xfId="0" applyFill="1" applyBorder="1" applyAlignment="1">
      <alignment horizontal="left" vertical="center" wrapText="1"/>
    </xf>
    <xf numFmtId="0" fontId="6" fillId="33" borderId="10" xfId="0" applyFont="1" applyFill="1" applyBorder="1" applyAlignment="1">
      <alignment horizontal="left" vertical="center" wrapText="1"/>
    </xf>
    <xf numFmtId="0" fontId="5" fillId="40" borderId="12" xfId="0" applyFont="1" applyFill="1" applyBorder="1" applyAlignment="1">
      <alignment horizontal="left" vertical="center"/>
    </xf>
    <xf numFmtId="0" fontId="5" fillId="40" borderId="11" xfId="0" applyFont="1" applyFill="1" applyBorder="1" applyAlignment="1">
      <alignment horizontal="left" vertical="center"/>
    </xf>
    <xf numFmtId="0" fontId="5" fillId="40" borderId="15" xfId="0" applyFont="1" applyFill="1" applyBorder="1" applyAlignment="1">
      <alignment horizontal="left" vertical="center"/>
    </xf>
    <xf numFmtId="0" fontId="59" fillId="43" borderId="10" xfId="0" applyFont="1" applyFill="1" applyBorder="1" applyAlignment="1">
      <alignment horizontal="center" vertical="center" wrapText="1"/>
    </xf>
    <xf numFmtId="0" fontId="5" fillId="43" borderId="10" xfId="0" applyFont="1" applyFill="1" applyBorder="1" applyAlignment="1">
      <alignment horizontal="center" vertical="center" wrapText="1"/>
    </xf>
    <xf numFmtId="0" fontId="0" fillId="33" borderId="12" xfId="0" applyFill="1" applyBorder="1" applyAlignment="1">
      <alignment horizontal="left" vertical="center" wrapText="1"/>
    </xf>
    <xf numFmtId="0" fontId="5" fillId="33" borderId="11" xfId="0" applyFont="1" applyFill="1" applyBorder="1" applyAlignment="1">
      <alignment horizontal="left" vertical="center" wrapText="1"/>
    </xf>
    <xf numFmtId="0" fontId="5" fillId="33" borderId="15" xfId="0" applyFont="1" applyFill="1" applyBorder="1" applyAlignment="1">
      <alignment horizontal="left" vertical="center" wrapText="1"/>
    </xf>
    <xf numFmtId="0" fontId="6" fillId="33" borderId="11" xfId="0" applyFont="1" applyFill="1" applyBorder="1" applyAlignment="1">
      <alignment horizontal="left" vertical="center" wrapText="1"/>
    </xf>
    <xf numFmtId="0" fontId="6" fillId="33" borderId="15" xfId="0" applyFont="1" applyFill="1" applyBorder="1" applyAlignment="1">
      <alignment horizontal="left" vertical="center" wrapText="1"/>
    </xf>
    <xf numFmtId="0" fontId="6" fillId="33" borderId="12" xfId="0" applyFont="1" applyFill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46" fillId="26" borderId="45" xfId="48" applyFont="1" applyFill="1" applyBorder="1" applyAlignment="1">
      <alignment horizontal="center" vertical="center" wrapText="1"/>
    </xf>
    <xf numFmtId="0" fontId="46" fillId="26" borderId="29" xfId="48" applyFont="1" applyFill="1" applyBorder="1" applyAlignment="1">
      <alignment horizontal="center" vertical="center" wrapText="1"/>
    </xf>
    <xf numFmtId="0" fontId="46" fillId="26" borderId="24" xfId="48" applyFont="1" applyFill="1" applyBorder="1" applyAlignment="1">
      <alignment horizontal="center" vertical="center" wrapText="1"/>
    </xf>
    <xf numFmtId="49" fontId="5" fillId="42" borderId="12" xfId="0" applyNumberFormat="1" applyFont="1" applyFill="1" applyBorder="1" applyAlignment="1">
      <alignment horizontal="center" vertical="center" wrapText="1"/>
    </xf>
    <xf numFmtId="49" fontId="5" fillId="42" borderId="11" xfId="0" applyNumberFormat="1" applyFont="1" applyFill="1" applyBorder="1" applyAlignment="1">
      <alignment horizontal="center" vertical="center" wrapText="1"/>
    </xf>
    <xf numFmtId="49" fontId="5" fillId="42" borderId="15" xfId="0" applyNumberFormat="1" applyFont="1" applyFill="1" applyBorder="1" applyAlignment="1">
      <alignment horizontal="center" vertical="center" wrapText="1"/>
    </xf>
    <xf numFmtId="0" fontId="58" fillId="0" borderId="12" xfId="0" applyFont="1" applyBorder="1" applyAlignment="1">
      <alignment horizontal="left" vertical="center" wrapText="1"/>
    </xf>
    <xf numFmtId="0" fontId="58" fillId="0" borderId="11" xfId="0" applyFont="1" applyBorder="1" applyAlignment="1">
      <alignment horizontal="left" vertical="center" wrapText="1"/>
    </xf>
    <xf numFmtId="0" fontId="58" fillId="0" borderId="15" xfId="0" applyFont="1" applyBorder="1" applyAlignment="1">
      <alignment horizontal="left" vertical="center" wrapText="1"/>
    </xf>
    <xf numFmtId="10" fontId="41" fillId="26" borderId="45" xfId="55" applyNumberFormat="1" applyFont="1" applyFill="1" applyBorder="1" applyAlignment="1" applyProtection="1">
      <alignment horizontal="center" vertical="center" wrapText="1"/>
      <protection locked="0"/>
    </xf>
    <xf numFmtId="10" fontId="41" fillId="26" borderId="29" xfId="55" applyNumberFormat="1" applyFont="1" applyFill="1" applyBorder="1" applyAlignment="1" applyProtection="1">
      <alignment horizontal="center" vertical="center" wrapText="1"/>
      <protection locked="0"/>
    </xf>
    <xf numFmtId="10" fontId="41" fillId="26" borderId="24" xfId="55" applyNumberFormat="1" applyFont="1" applyFill="1" applyBorder="1" applyAlignment="1" applyProtection="1">
      <alignment horizontal="center" vertical="center" wrapText="1"/>
      <protection locked="0"/>
    </xf>
    <xf numFmtId="0" fontId="41" fillId="26" borderId="45" xfId="48" applyFont="1" applyFill="1" applyBorder="1" applyAlignment="1">
      <alignment horizontal="center" vertical="center" wrapText="1"/>
    </xf>
    <xf numFmtId="0" fontId="41" fillId="26" borderId="29" xfId="48" applyFont="1" applyFill="1" applyBorder="1" applyAlignment="1">
      <alignment horizontal="center" vertical="center" wrapText="1"/>
    </xf>
    <xf numFmtId="0" fontId="41" fillId="26" borderId="24" xfId="48" applyFont="1" applyFill="1" applyBorder="1" applyAlignment="1">
      <alignment horizontal="center" vertical="center" wrapText="1"/>
    </xf>
    <xf numFmtId="0" fontId="6" fillId="33" borderId="11" xfId="0" applyFont="1" applyFill="1" applyBorder="1" applyAlignment="1">
      <alignment horizontal="center" vertical="center" wrapText="1"/>
    </xf>
    <xf numFmtId="49" fontId="5" fillId="47" borderId="45" xfId="0" applyNumberFormat="1" applyFont="1" applyFill="1" applyBorder="1" applyAlignment="1">
      <alignment horizontal="center" vertical="center" wrapText="1"/>
    </xf>
    <xf numFmtId="49" fontId="5" fillId="47" borderId="29" xfId="0" applyNumberFormat="1" applyFont="1" applyFill="1" applyBorder="1" applyAlignment="1">
      <alignment horizontal="center" vertical="center" wrapText="1"/>
    </xf>
    <xf numFmtId="49" fontId="5" fillId="47" borderId="24" xfId="0" applyNumberFormat="1" applyFont="1" applyFill="1" applyBorder="1" applyAlignment="1">
      <alignment horizontal="center" vertical="center" wrapText="1"/>
    </xf>
    <xf numFmtId="0" fontId="46" fillId="26" borderId="25" xfId="48" applyFont="1" applyFill="1" applyBorder="1" applyAlignment="1">
      <alignment horizontal="center" vertical="center" wrapText="1"/>
    </xf>
    <xf numFmtId="0" fontId="46" fillId="26" borderId="38" xfId="48" applyFont="1" applyFill="1" applyBorder="1" applyAlignment="1">
      <alignment horizontal="center" vertical="center" wrapText="1"/>
    </xf>
    <xf numFmtId="0" fontId="46" fillId="26" borderId="46" xfId="48" applyFont="1" applyFill="1" applyBorder="1" applyAlignment="1">
      <alignment horizontal="center" vertical="center" wrapText="1"/>
    </xf>
    <xf numFmtId="171" fontId="41" fillId="26" borderId="25" xfId="48" applyNumberFormat="1" applyFont="1" applyFill="1" applyBorder="1" applyAlignment="1">
      <alignment horizontal="center" vertical="center" wrapText="1"/>
    </xf>
    <xf numFmtId="171" fontId="41" fillId="26" borderId="38" xfId="48" applyNumberFormat="1" applyFont="1" applyFill="1" applyBorder="1" applyAlignment="1">
      <alignment horizontal="center" vertical="center" wrapText="1"/>
    </xf>
    <xf numFmtId="171" fontId="41" fillId="26" borderId="46" xfId="48" applyNumberFormat="1" applyFont="1" applyFill="1" applyBorder="1" applyAlignment="1">
      <alignment horizontal="center" vertical="center" wrapText="1"/>
    </xf>
    <xf numFmtId="0" fontId="46" fillId="47" borderId="45" xfId="48" applyFont="1" applyFill="1" applyBorder="1" applyAlignment="1">
      <alignment horizontal="center" vertical="center" wrapText="1"/>
    </xf>
    <xf numFmtId="0" fontId="46" fillId="47" borderId="29" xfId="48" applyFont="1" applyFill="1" applyBorder="1" applyAlignment="1">
      <alignment horizontal="center" vertical="center" wrapText="1"/>
    </xf>
    <xf numFmtId="0" fontId="46" fillId="47" borderId="24" xfId="48" applyFont="1" applyFill="1" applyBorder="1" applyAlignment="1">
      <alignment horizontal="center" vertical="center" wrapText="1"/>
    </xf>
    <xf numFmtId="0" fontId="58" fillId="0" borderId="10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44" fillId="0" borderId="12" xfId="0" applyFont="1" applyBorder="1" applyAlignment="1">
      <alignment vertical="center"/>
    </xf>
    <xf numFmtId="0" fontId="44" fillId="0" borderId="11" xfId="0" applyFont="1" applyBorder="1" applyAlignment="1">
      <alignment vertical="center"/>
    </xf>
    <xf numFmtId="49" fontId="5" fillId="47" borderId="12" xfId="0" applyNumberFormat="1" applyFont="1" applyFill="1" applyBorder="1" applyAlignment="1">
      <alignment horizontal="center" vertical="center" wrapText="1"/>
    </xf>
    <xf numFmtId="49" fontId="5" fillId="47" borderId="11" xfId="0" applyNumberFormat="1" applyFont="1" applyFill="1" applyBorder="1" applyAlignment="1">
      <alignment horizontal="center" vertical="center" wrapText="1"/>
    </xf>
    <xf numFmtId="49" fontId="5" fillId="47" borderId="15" xfId="0" applyNumberFormat="1" applyFont="1" applyFill="1" applyBorder="1" applyAlignment="1">
      <alignment horizontal="center" vertical="center" wrapText="1"/>
    </xf>
    <xf numFmtId="0" fontId="5" fillId="43" borderId="40" xfId="0" applyFont="1" applyFill="1" applyBorder="1" applyAlignment="1">
      <alignment horizontal="center" vertical="center" wrapText="1"/>
    </xf>
    <xf numFmtId="0" fontId="5" fillId="43" borderId="35" xfId="0" applyFont="1" applyFill="1" applyBorder="1" applyAlignment="1">
      <alignment horizontal="center" vertical="center" wrapText="1"/>
    </xf>
    <xf numFmtId="0" fontId="5" fillId="43" borderId="41" xfId="0" applyFont="1" applyFill="1" applyBorder="1" applyAlignment="1">
      <alignment horizontal="center" vertical="center" wrapText="1"/>
    </xf>
    <xf numFmtId="0" fontId="5" fillId="43" borderId="26" xfId="0" applyFont="1" applyFill="1" applyBorder="1" applyAlignment="1">
      <alignment horizontal="center" vertical="center" wrapText="1"/>
    </xf>
    <xf numFmtId="0" fontId="5" fillId="43" borderId="0" xfId="0" applyFont="1" applyFill="1" applyAlignment="1">
      <alignment horizontal="center" vertical="center" wrapText="1"/>
    </xf>
    <xf numFmtId="0" fontId="5" fillId="43" borderId="42" xfId="0" applyFont="1" applyFill="1" applyBorder="1" applyAlignment="1">
      <alignment horizontal="center" vertical="center" wrapText="1"/>
    </xf>
    <xf numFmtId="0" fontId="5" fillId="43" borderId="39" xfId="0" applyFont="1" applyFill="1" applyBorder="1" applyAlignment="1">
      <alignment horizontal="center" vertical="center" wrapText="1"/>
    </xf>
    <xf numFmtId="0" fontId="5" fillId="43" borderId="27" xfId="0" applyFont="1" applyFill="1" applyBorder="1" applyAlignment="1">
      <alignment horizontal="center" vertical="center" wrapText="1"/>
    </xf>
    <xf numFmtId="0" fontId="5" fillId="43" borderId="43" xfId="0" applyFont="1" applyFill="1" applyBorder="1" applyAlignment="1">
      <alignment horizontal="center" vertical="center" wrapText="1"/>
    </xf>
    <xf numFmtId="0" fontId="5" fillId="47" borderId="10" xfId="0" applyFont="1" applyFill="1" applyBorder="1" applyAlignment="1">
      <alignment horizontal="center" vertical="center"/>
    </xf>
    <xf numFmtId="0" fontId="5" fillId="47" borderId="14" xfId="0" applyFont="1" applyFill="1" applyBorder="1" applyAlignment="1">
      <alignment horizontal="center" vertical="center"/>
    </xf>
  </cellXfs>
  <cellStyles count="76">
    <cellStyle name="20% - Ênfase1 2" xfId="1" xr:uid="{00000000-0005-0000-0000-000000000000}"/>
    <cellStyle name="20% - Ênfase2 2" xfId="2" xr:uid="{00000000-0005-0000-0000-000001000000}"/>
    <cellStyle name="20% - Ênfase3 2" xfId="3" xr:uid="{00000000-0005-0000-0000-000002000000}"/>
    <cellStyle name="20% - Ênfase4 2" xfId="4" xr:uid="{00000000-0005-0000-0000-000003000000}"/>
    <cellStyle name="20% - Ênfase5 2" xfId="5" xr:uid="{00000000-0005-0000-0000-000004000000}"/>
    <cellStyle name="20% - Ênfase6 2" xfId="6" xr:uid="{00000000-0005-0000-0000-000005000000}"/>
    <cellStyle name="40% - Ênfase1 2" xfId="7" xr:uid="{00000000-0005-0000-0000-000006000000}"/>
    <cellStyle name="40% - Ênfase2 2" xfId="8" xr:uid="{00000000-0005-0000-0000-000007000000}"/>
    <cellStyle name="40% - Ênfase3 2" xfId="9" xr:uid="{00000000-0005-0000-0000-000008000000}"/>
    <cellStyle name="40% - Ênfase4 2" xfId="10" xr:uid="{00000000-0005-0000-0000-000009000000}"/>
    <cellStyle name="40% - Ênfase5 2" xfId="11" xr:uid="{00000000-0005-0000-0000-00000A000000}"/>
    <cellStyle name="40% - Ênfase6 2" xfId="12" xr:uid="{00000000-0005-0000-0000-00000B000000}"/>
    <cellStyle name="60% - Ênfase1 2" xfId="13" xr:uid="{00000000-0005-0000-0000-00000C000000}"/>
    <cellStyle name="60% - Ênfase2 2" xfId="14" xr:uid="{00000000-0005-0000-0000-00000D000000}"/>
    <cellStyle name="60% - Ênfase3 2" xfId="15" xr:uid="{00000000-0005-0000-0000-00000E000000}"/>
    <cellStyle name="60% - Ênfase4 2" xfId="16" xr:uid="{00000000-0005-0000-0000-00000F000000}"/>
    <cellStyle name="60% - Ênfase5 2" xfId="17" xr:uid="{00000000-0005-0000-0000-000010000000}"/>
    <cellStyle name="60% - Ênfase6 2" xfId="18" xr:uid="{00000000-0005-0000-0000-000011000000}"/>
    <cellStyle name="Bom 2" xfId="19" xr:uid="{00000000-0005-0000-0000-000012000000}"/>
    <cellStyle name="Cálculo 2" xfId="20" xr:uid="{00000000-0005-0000-0000-000013000000}"/>
    <cellStyle name="Célula de Verificação 2" xfId="21" xr:uid="{00000000-0005-0000-0000-000014000000}"/>
    <cellStyle name="Célula Vinculada 2" xfId="22" xr:uid="{00000000-0005-0000-0000-000015000000}"/>
    <cellStyle name="Ênfase1 2" xfId="23" xr:uid="{00000000-0005-0000-0000-000018000000}"/>
    <cellStyle name="Ênfase2 2" xfId="24" xr:uid="{00000000-0005-0000-0000-000019000000}"/>
    <cellStyle name="Ênfase3 2" xfId="25" xr:uid="{00000000-0005-0000-0000-00001A000000}"/>
    <cellStyle name="Ênfase4 2" xfId="26" xr:uid="{00000000-0005-0000-0000-00001B000000}"/>
    <cellStyle name="Ênfase5 2" xfId="27" xr:uid="{00000000-0005-0000-0000-00001C000000}"/>
    <cellStyle name="Ênfase6 2" xfId="28" xr:uid="{00000000-0005-0000-0000-00001D000000}"/>
    <cellStyle name="Entrada 2" xfId="29" xr:uid="{00000000-0005-0000-0000-00001E000000}"/>
    <cellStyle name="Hiperlink" xfId="74" builtinId="8"/>
    <cellStyle name="Hyperlink" xfId="73" xr:uid="{00000000-000B-0000-0000-000008000000}"/>
    <cellStyle name="Incorreto 2" xfId="30" xr:uid="{00000000-0005-0000-0000-000020000000}"/>
    <cellStyle name="Moeda" xfId="31" builtinId="4"/>
    <cellStyle name="Moeda 2" xfId="32" xr:uid="{00000000-0005-0000-0000-000021000000}"/>
    <cellStyle name="Moeda 3" xfId="33" xr:uid="{00000000-0005-0000-0000-000022000000}"/>
    <cellStyle name="Moeda 4" xfId="34" xr:uid="{00000000-0005-0000-0000-000023000000}"/>
    <cellStyle name="Moeda 5" xfId="35" xr:uid="{00000000-0005-0000-0000-000024000000}"/>
    <cellStyle name="Moeda 6" xfId="36" xr:uid="{00000000-0005-0000-0000-000025000000}"/>
    <cellStyle name="Moeda 7" xfId="37" xr:uid="{00000000-0005-0000-0000-000026000000}"/>
    <cellStyle name="Neutra 2" xfId="38" xr:uid="{00000000-0005-0000-0000-000027000000}"/>
    <cellStyle name="Normal" xfId="0" builtinId="0"/>
    <cellStyle name="Normal 18" xfId="39" xr:uid="{00000000-0005-0000-0000-000029000000}"/>
    <cellStyle name="Normal 2" xfId="40" xr:uid="{00000000-0005-0000-0000-00002A000000}"/>
    <cellStyle name="Normal 2 2" xfId="41" xr:uid="{00000000-0005-0000-0000-00002B000000}"/>
    <cellStyle name="Normal 2 2 2" xfId="42" xr:uid="{00000000-0005-0000-0000-00002C000000}"/>
    <cellStyle name="Normal 2 3" xfId="43" xr:uid="{00000000-0005-0000-0000-00002D000000}"/>
    <cellStyle name="Normal 3" xfId="44" xr:uid="{00000000-0005-0000-0000-00002E000000}"/>
    <cellStyle name="Normal 3 2" xfId="45" xr:uid="{00000000-0005-0000-0000-00002F000000}"/>
    <cellStyle name="Normal 4" xfId="46" xr:uid="{00000000-0005-0000-0000-000030000000}"/>
    <cellStyle name="Normal 5" xfId="47" xr:uid="{00000000-0005-0000-0000-000031000000}"/>
    <cellStyle name="Normal 6" xfId="48" xr:uid="{00000000-0005-0000-0000-000032000000}"/>
    <cellStyle name="Normal 7" xfId="49" xr:uid="{00000000-0005-0000-0000-000033000000}"/>
    <cellStyle name="Normal 8" xfId="50" xr:uid="{00000000-0005-0000-0000-000034000000}"/>
    <cellStyle name="Normal 9" xfId="51" xr:uid="{00000000-0005-0000-0000-000035000000}"/>
    <cellStyle name="Nota 2" xfId="52" xr:uid="{00000000-0005-0000-0000-000036000000}"/>
    <cellStyle name="Porcentagem" xfId="75" builtinId="5"/>
    <cellStyle name="Porcentagem 2" xfId="53" xr:uid="{00000000-0005-0000-0000-000037000000}"/>
    <cellStyle name="Porcentagem 3" xfId="54" xr:uid="{00000000-0005-0000-0000-000038000000}"/>
    <cellStyle name="Porcentagem 4" xfId="55" xr:uid="{00000000-0005-0000-0000-000039000000}"/>
    <cellStyle name="Porcentagem 5" xfId="56" xr:uid="{00000000-0005-0000-0000-00003A000000}"/>
    <cellStyle name="Porcentagem 6" xfId="57" xr:uid="{00000000-0005-0000-0000-00003B000000}"/>
    <cellStyle name="Porcentagem 9" xfId="58" xr:uid="{00000000-0005-0000-0000-00003C000000}"/>
    <cellStyle name="Saída 2" xfId="59" xr:uid="{00000000-0005-0000-0000-00003D000000}"/>
    <cellStyle name="Separador de milhares 2" xfId="60" xr:uid="{00000000-0005-0000-0000-00003E000000}"/>
    <cellStyle name="Texto de Aviso 2" xfId="61" xr:uid="{00000000-0005-0000-0000-00003F000000}"/>
    <cellStyle name="Texto Explicativo" xfId="72" builtinId="53"/>
    <cellStyle name="Texto Explicativo 2" xfId="62" xr:uid="{00000000-0005-0000-0000-000040000000}"/>
    <cellStyle name="Título 1 2" xfId="63" xr:uid="{00000000-0005-0000-0000-000041000000}"/>
    <cellStyle name="Título 2 2" xfId="64" xr:uid="{00000000-0005-0000-0000-000042000000}"/>
    <cellStyle name="Título 3 2" xfId="65" xr:uid="{00000000-0005-0000-0000-000043000000}"/>
    <cellStyle name="Título 4 2" xfId="66" xr:uid="{00000000-0005-0000-0000-000044000000}"/>
    <cellStyle name="Título 5" xfId="67" xr:uid="{00000000-0005-0000-0000-000045000000}"/>
    <cellStyle name="Total 2" xfId="68" xr:uid="{00000000-0005-0000-0000-000046000000}"/>
    <cellStyle name="Vírgula" xfId="69" builtinId="3"/>
    <cellStyle name="Vírgula 2" xfId="70" xr:uid="{00000000-0005-0000-0000-000047000000}"/>
    <cellStyle name="Vírgula 3" xfId="71" xr:uid="{00000000-0005-0000-0000-000048000000}"/>
  </cellStyles>
  <dxfs count="0"/>
  <tableStyles count="0" defaultTableStyle="TableStyleMedium9" defaultPivotStyle="PivotStyleLight16"/>
  <colors>
    <mruColors>
      <color rgb="FF00ACBF"/>
      <color rgb="FF054985"/>
      <color rgb="FF5A8032"/>
      <color rgb="FFF5B411"/>
      <color rgb="FFF0B9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0</xdr:row>
      <xdr:rowOff>0</xdr:rowOff>
    </xdr:from>
    <xdr:to>
      <xdr:col>2</xdr:col>
      <xdr:colOff>228600</xdr:colOff>
      <xdr:row>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C7726B9-334E-42F9-A6B8-E2B766F13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0"/>
          <a:ext cx="10001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847725</xdr:colOff>
      <xdr:row>0</xdr:row>
      <xdr:rowOff>0</xdr:rowOff>
    </xdr:from>
    <xdr:to>
      <xdr:col>3</xdr:col>
      <xdr:colOff>790575</xdr:colOff>
      <xdr:row>1</xdr:row>
      <xdr:rowOff>66675</xdr:rowOff>
    </xdr:to>
    <xdr:pic>
      <xdr:nvPicPr>
        <xdr:cNvPr id="2947" name="Imagem 1">
          <a:extLst>
            <a:ext uri="{FF2B5EF4-FFF2-40B4-BE49-F238E27FC236}">
              <a16:creationId xmlns:a16="http://schemas.microsoft.com/office/drawing/2014/main" id="{BFE66181-6F44-4E5E-B92C-A090F63E5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0"/>
          <a:ext cx="11239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209550</xdr:colOff>
      <xdr:row>31</xdr:row>
      <xdr:rowOff>66675</xdr:rowOff>
    </xdr:from>
    <xdr:to>
      <xdr:col>4</xdr:col>
      <xdr:colOff>800100</xdr:colOff>
      <xdr:row>32</xdr:row>
      <xdr:rowOff>133350</xdr:rowOff>
    </xdr:to>
    <xdr:sp macro="" textlink="">
      <xdr:nvSpPr>
        <xdr:cNvPr id="2" name="Seta para a Direita 1">
          <a:extLst>
            <a:ext uri="{FF2B5EF4-FFF2-40B4-BE49-F238E27FC236}">
              <a16:creationId xmlns:a16="http://schemas.microsoft.com/office/drawing/2014/main" id="{69D4D052-7930-7CA3-DB3C-56A87108E8C2}"/>
            </a:ext>
            <a:ext uri="{147F2762-F138-4A5C-976F-8EAC2B608ADB}">
              <a16:predDERef xmlns:a16="http://schemas.microsoft.com/office/drawing/2014/main" pred="{BFE66181-6F44-4E5E-B92C-A090F63E5E6E}"/>
            </a:ext>
          </a:extLst>
        </xdr:cNvPr>
        <xdr:cNvSpPr/>
      </xdr:nvSpPr>
      <xdr:spPr>
        <a:xfrm>
          <a:off x="4819650" y="8172450"/>
          <a:ext cx="590550" cy="228600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/>
        </a:p>
      </xdr:txBody>
    </xdr:sp>
    <xdr:clientData/>
  </xdr:twoCellAnchor>
  <xdr:twoCellAnchor>
    <xdr:from>
      <xdr:col>4</xdr:col>
      <xdr:colOff>200025</xdr:colOff>
      <xdr:row>37</xdr:row>
      <xdr:rowOff>28575</xdr:rowOff>
    </xdr:from>
    <xdr:to>
      <xdr:col>4</xdr:col>
      <xdr:colOff>781050</xdr:colOff>
      <xdr:row>37</xdr:row>
      <xdr:rowOff>266700</xdr:rowOff>
    </xdr:to>
    <xdr:sp macro="" textlink="">
      <xdr:nvSpPr>
        <xdr:cNvPr id="3" name="Seta para a Direita 2">
          <a:extLst>
            <a:ext uri="{FF2B5EF4-FFF2-40B4-BE49-F238E27FC236}">
              <a16:creationId xmlns:a16="http://schemas.microsoft.com/office/drawing/2014/main" id="{08F8A5C8-AEEC-4F5D-B42E-995CBAE49C41}"/>
            </a:ext>
            <a:ext uri="{147F2762-F138-4A5C-976F-8EAC2B608ADB}">
              <a16:predDERef xmlns:a16="http://schemas.microsoft.com/office/drawing/2014/main" pred="{69D4D052-7930-7CA3-DB3C-56A87108E8C2}"/>
            </a:ext>
          </a:extLst>
        </xdr:cNvPr>
        <xdr:cNvSpPr/>
      </xdr:nvSpPr>
      <xdr:spPr>
        <a:xfrm>
          <a:off x="4810125" y="9105900"/>
          <a:ext cx="581025" cy="238125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selic.go.sra@gestao.gov.br" TargetMode="External"/><Relationship Id="rId2" Type="http://schemas.openxmlformats.org/officeDocument/2006/relationships/hyperlink" Target="mailto:protocolospugo@economia.gov.br" TargetMode="External"/><Relationship Id="rId1" Type="http://schemas.openxmlformats.org/officeDocument/2006/relationships/hyperlink" Target="mailto:apoio.go.pfn@pgfn.gov.br" TargetMode="Externa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1:M46"/>
  <sheetViews>
    <sheetView tabSelected="1" topLeftCell="A17" zoomScale="70" zoomScaleNormal="70" workbookViewId="0">
      <selection activeCell="G26" sqref="G26"/>
    </sheetView>
  </sheetViews>
  <sheetFormatPr defaultRowHeight="13.2"/>
  <cols>
    <col min="2" max="2" width="10.5546875" customWidth="1"/>
    <col min="3" max="3" width="24.109375" customWidth="1"/>
    <col min="4" max="4" width="13.88671875" customWidth="1"/>
    <col min="5" max="5" width="18.5546875" customWidth="1"/>
    <col min="6" max="6" width="19.109375" customWidth="1"/>
    <col min="7" max="7" width="31.44140625" customWidth="1"/>
    <col min="8" max="8" width="25.5546875" customWidth="1"/>
    <col min="10" max="10" width="8.88671875" style="453"/>
    <col min="11" max="11" width="13.109375" bestFit="1" customWidth="1"/>
    <col min="12" max="12" width="20.5546875" customWidth="1"/>
    <col min="13" max="13" width="13.109375" bestFit="1" customWidth="1"/>
  </cols>
  <sheetData>
    <row r="1" spans="2:8">
      <c r="B1" s="457"/>
      <c r="C1" s="111"/>
      <c r="D1" s="111"/>
      <c r="E1" s="111"/>
      <c r="F1" s="111"/>
      <c r="G1" s="111"/>
      <c r="H1" s="112"/>
    </row>
    <row r="2" spans="2:8">
      <c r="B2" s="458"/>
      <c r="C2" s="472" t="s">
        <v>0</v>
      </c>
      <c r="D2" s="472"/>
      <c r="E2" s="472"/>
      <c r="F2" s="472"/>
      <c r="G2" s="472"/>
      <c r="H2" s="473"/>
    </row>
    <row r="3" spans="2:8">
      <c r="B3" s="458"/>
      <c r="C3" s="472" t="s">
        <v>1</v>
      </c>
      <c r="D3" s="472"/>
      <c r="E3" s="472"/>
      <c r="F3" s="472"/>
      <c r="G3" s="472"/>
      <c r="H3" s="473"/>
    </row>
    <row r="4" spans="2:8">
      <c r="B4" s="458"/>
      <c r="C4" s="472" t="s">
        <v>2</v>
      </c>
      <c r="D4" s="472"/>
      <c r="E4" s="472"/>
      <c r="F4" s="472"/>
      <c r="G4" s="472"/>
      <c r="H4" s="473"/>
    </row>
    <row r="5" spans="2:8" ht="15" customHeight="1">
      <c r="B5" s="458"/>
      <c r="C5" s="472" t="s">
        <v>3</v>
      </c>
      <c r="D5" s="472"/>
      <c r="E5" s="472"/>
      <c r="F5" s="472"/>
      <c r="G5" s="472"/>
      <c r="H5" s="473"/>
    </row>
    <row r="6" spans="2:8" ht="21" customHeight="1">
      <c r="B6" s="458"/>
      <c r="C6" t="s">
        <v>4</v>
      </c>
      <c r="D6" s="295"/>
      <c r="E6" s="294"/>
      <c r="G6" s="248"/>
      <c r="H6" s="113"/>
    </row>
    <row r="7" spans="2:8" ht="19.5" customHeight="1">
      <c r="B7" s="459" t="s">
        <v>5</v>
      </c>
      <c r="C7" s="460"/>
      <c r="D7" s="460"/>
      <c r="E7" s="460"/>
      <c r="F7" s="460"/>
      <c r="G7" s="460"/>
      <c r="H7" s="461"/>
    </row>
    <row r="8" spans="2:8" ht="19.5" customHeight="1">
      <c r="B8" s="128"/>
      <c r="C8" s="129"/>
      <c r="D8" s="129"/>
      <c r="E8" s="129"/>
      <c r="F8" s="129"/>
      <c r="G8" s="129"/>
      <c r="H8" s="130"/>
    </row>
    <row r="9" spans="2:8" ht="66" customHeight="1">
      <c r="B9" s="462" t="s">
        <v>6</v>
      </c>
      <c r="C9" s="463"/>
      <c r="D9" s="463"/>
      <c r="E9" s="463"/>
      <c r="F9" s="463"/>
      <c r="G9" s="463"/>
      <c r="H9" s="463"/>
    </row>
    <row r="10" spans="2:8" ht="21" customHeight="1">
      <c r="B10" s="115" t="s">
        <v>7</v>
      </c>
      <c r="C10" s="116"/>
      <c r="D10" s="116" t="s">
        <v>421</v>
      </c>
      <c r="E10" s="117"/>
      <c r="F10" s="118"/>
      <c r="G10" s="116"/>
      <c r="H10" s="119"/>
    </row>
    <row r="11" spans="2:8" ht="21" customHeight="1">
      <c r="B11" s="120" t="s">
        <v>8</v>
      </c>
      <c r="C11" s="33"/>
      <c r="D11" s="46" t="s">
        <v>422</v>
      </c>
      <c r="E11" s="46"/>
      <c r="F11" s="47"/>
      <c r="G11" s="33"/>
      <c r="H11" s="121"/>
    </row>
    <row r="12" spans="2:8" ht="20.25" customHeight="1">
      <c r="B12" s="120" t="s">
        <v>9</v>
      </c>
      <c r="C12" s="33"/>
      <c r="D12" s="46" t="s">
        <v>423</v>
      </c>
      <c r="E12" s="46"/>
      <c r="F12" s="47"/>
      <c r="G12" s="33"/>
      <c r="H12" s="121"/>
    </row>
    <row r="13" spans="2:8" ht="18.899999999999999" customHeight="1">
      <c r="B13" s="120" t="s">
        <v>10</v>
      </c>
      <c r="C13" s="33"/>
      <c r="D13" s="46">
        <v>148396</v>
      </c>
      <c r="E13" s="46"/>
      <c r="F13" s="47"/>
      <c r="G13" s="33"/>
      <c r="H13" s="121"/>
    </row>
    <row r="14" spans="2:8" ht="19.5" customHeight="1">
      <c r="B14" s="120" t="s">
        <v>11</v>
      </c>
      <c r="C14" s="33"/>
      <c r="D14" s="33" t="s">
        <v>424</v>
      </c>
      <c r="E14" s="33"/>
      <c r="F14" s="47"/>
      <c r="G14" s="33"/>
      <c r="H14" s="121"/>
    </row>
    <row r="15" spans="2:8" ht="21" customHeight="1">
      <c r="B15" s="120" t="s">
        <v>12</v>
      </c>
      <c r="C15" s="33"/>
      <c r="D15" s="46" t="s">
        <v>425</v>
      </c>
      <c r="E15" s="46"/>
      <c r="F15" s="47"/>
      <c r="G15" s="33"/>
      <c r="H15" s="121"/>
    </row>
    <row r="16" spans="2:8" ht="21" customHeight="1">
      <c r="B16" s="120" t="s">
        <v>13</v>
      </c>
      <c r="C16" s="33"/>
      <c r="D16" s="46" t="s">
        <v>426</v>
      </c>
      <c r="E16" s="46"/>
      <c r="F16" s="47"/>
      <c r="G16" s="33"/>
      <c r="H16" s="121"/>
    </row>
    <row r="17" spans="2:13" ht="21" customHeight="1">
      <c r="B17" s="120" t="s">
        <v>14</v>
      </c>
      <c r="C17" s="33"/>
      <c r="D17" s="46"/>
      <c r="E17" s="46"/>
      <c r="F17" s="47"/>
      <c r="G17" s="33"/>
      <c r="H17" s="121"/>
    </row>
    <row r="18" spans="2:13" ht="18" customHeight="1">
      <c r="B18" s="120" t="s">
        <v>427</v>
      </c>
      <c r="C18" s="33"/>
      <c r="D18" s="46"/>
      <c r="E18" s="46"/>
      <c r="F18" s="47"/>
      <c r="G18" s="33"/>
      <c r="H18" s="121"/>
    </row>
    <row r="19" spans="2:13" ht="22.65" customHeight="1">
      <c r="B19" s="120" t="s">
        <v>15</v>
      </c>
      <c r="C19" s="33"/>
      <c r="D19" s="46" t="s">
        <v>428</v>
      </c>
      <c r="E19" s="46"/>
      <c r="F19" s="250"/>
      <c r="G19" s="33"/>
      <c r="H19" s="121"/>
    </row>
    <row r="20" spans="2:13" ht="19.5" customHeight="1">
      <c r="B20" s="122" t="s">
        <v>16</v>
      </c>
      <c r="C20" s="45"/>
      <c r="D20" s="46" t="s">
        <v>429</v>
      </c>
      <c r="E20" s="46"/>
      <c r="F20" s="47"/>
      <c r="G20" s="33"/>
      <c r="H20" s="121"/>
    </row>
    <row r="21" spans="2:13" ht="21" customHeight="1">
      <c r="B21" s="123" t="s">
        <v>430</v>
      </c>
      <c r="C21" s="124"/>
      <c r="D21" s="124"/>
      <c r="E21" s="125"/>
      <c r="F21" s="126"/>
      <c r="G21" s="124"/>
      <c r="H21" s="127"/>
    </row>
    <row r="22" spans="2:13" ht="13.5" customHeight="1">
      <c r="B22" s="114"/>
      <c r="C22" s="32"/>
      <c r="D22" s="33"/>
      <c r="E22" s="33"/>
      <c r="F22" s="34"/>
      <c r="G22" s="33"/>
      <c r="H22" s="30"/>
    </row>
    <row r="23" spans="2:13" ht="13.8" thickBot="1">
      <c r="B23" s="469" t="s">
        <v>17</v>
      </c>
      <c r="C23" s="470"/>
      <c r="D23" s="470"/>
      <c r="E23" s="470"/>
      <c r="F23" s="470"/>
      <c r="G23" s="470"/>
      <c r="H23" s="471"/>
    </row>
    <row r="24" spans="2:13" ht="52.8">
      <c r="B24" s="91" t="s">
        <v>18</v>
      </c>
      <c r="C24" s="35" t="s">
        <v>19</v>
      </c>
      <c r="D24" s="35" t="s">
        <v>20</v>
      </c>
      <c r="E24" s="35" t="s">
        <v>21</v>
      </c>
      <c r="F24" s="36" t="s">
        <v>22</v>
      </c>
      <c r="G24" s="35" t="s">
        <v>23</v>
      </c>
      <c r="H24" s="37" t="s">
        <v>24</v>
      </c>
    </row>
    <row r="25" spans="2:13" ht="114" customHeight="1">
      <c r="B25" s="135">
        <v>1</v>
      </c>
      <c r="C25" s="245" t="s">
        <v>25</v>
      </c>
      <c r="D25" s="257" t="s">
        <v>26</v>
      </c>
      <c r="E25" s="258">
        <f>'1-Servente Goiânia SRA'!C143</f>
        <v>1</v>
      </c>
      <c r="F25" s="259">
        <f>'1-Servente Goiânia SRA'!B143</f>
        <v>4900.0011190573314</v>
      </c>
      <c r="G25" s="136">
        <f>TRUNC(E25*F25,2)</f>
        <v>4900</v>
      </c>
      <c r="H25" s="137">
        <f t="shared" ref="H25:H27" si="0">G25*12</f>
        <v>58800</v>
      </c>
    </row>
    <row r="26" spans="2:13" ht="98.25" customHeight="1">
      <c r="B26" s="135">
        <v>2</v>
      </c>
      <c r="C26" s="245" t="s">
        <v>27</v>
      </c>
      <c r="D26" s="257" t="s">
        <v>26</v>
      </c>
      <c r="E26" s="246">
        <v>7</v>
      </c>
      <c r="F26" s="259">
        <f>'2-Servente Goiânia PFN'!B143</f>
        <v>4900.0011190573314</v>
      </c>
      <c r="G26" s="136">
        <f>TRUNC(E26*F26,2)</f>
        <v>34300</v>
      </c>
      <c r="H26" s="137">
        <f t="shared" si="0"/>
        <v>411600</v>
      </c>
    </row>
    <row r="27" spans="2:13" ht="106.5" customHeight="1">
      <c r="B27" s="135">
        <v>3</v>
      </c>
      <c r="C27" s="245" t="s">
        <v>28</v>
      </c>
      <c r="D27" s="257" t="s">
        <v>26</v>
      </c>
      <c r="E27" s="246">
        <v>2</v>
      </c>
      <c r="F27" s="259">
        <f>'3-Servente Goiania SPU'!B143</f>
        <v>4900.0011190573314</v>
      </c>
      <c r="G27" s="136">
        <f t="shared" ref="G27" si="1">TRUNC(E27*F27,2)</f>
        <v>9800</v>
      </c>
      <c r="H27" s="137">
        <f t="shared" si="0"/>
        <v>117600</v>
      </c>
    </row>
    <row r="28" spans="2:13" ht="22.5" customHeight="1">
      <c r="B28" s="466" t="s">
        <v>29</v>
      </c>
      <c r="C28" s="467"/>
      <c r="D28" s="468"/>
      <c r="E28" s="140">
        <f>SUM(E25:E27)</f>
        <v>10</v>
      </c>
      <c r="F28" s="141"/>
      <c r="G28" s="142"/>
      <c r="H28" s="143"/>
      <c r="L28" s="92"/>
      <c r="M28" s="92"/>
    </row>
    <row r="29" spans="2:13" ht="26.25" customHeight="1">
      <c r="B29" s="477" t="s">
        <v>30</v>
      </c>
      <c r="C29" s="477"/>
      <c r="D29" s="477"/>
      <c r="E29" s="477"/>
      <c r="F29" s="477"/>
      <c r="G29" s="247">
        <f>SUM(G25:G27)</f>
        <v>49000</v>
      </c>
      <c r="H29" s="247">
        <f>SUM(H25:H27)</f>
        <v>588000</v>
      </c>
      <c r="L29" s="92"/>
      <c r="M29" s="92"/>
    </row>
    <row r="30" spans="2:13">
      <c r="B30" s="31"/>
      <c r="C30" s="31"/>
      <c r="D30" s="31"/>
      <c r="E30" s="31"/>
      <c r="F30" s="31"/>
      <c r="G30" s="31"/>
      <c r="H30" s="31"/>
      <c r="L30" s="92"/>
      <c r="M30" s="92"/>
    </row>
    <row r="31" spans="2:13" ht="59.25" customHeight="1">
      <c r="B31" s="478" t="s">
        <v>31</v>
      </c>
      <c r="C31" s="478"/>
      <c r="D31" s="478"/>
      <c r="E31" s="478"/>
      <c r="F31" s="478"/>
      <c r="G31" s="478"/>
      <c r="H31" s="30"/>
      <c r="K31" s="144"/>
    </row>
    <row r="32" spans="2:13" ht="30.75" customHeight="1">
      <c r="B32" s="478" t="s">
        <v>32</v>
      </c>
      <c r="C32" s="478"/>
      <c r="D32" s="478"/>
      <c r="E32" s="478"/>
      <c r="F32" s="478"/>
      <c r="G32" s="478"/>
      <c r="H32" s="30"/>
    </row>
    <row r="33" spans="2:8" ht="48" customHeight="1">
      <c r="B33" s="464" t="s">
        <v>33</v>
      </c>
      <c r="C33" s="464"/>
      <c r="D33" s="464"/>
      <c r="E33" s="464"/>
      <c r="F33" s="464"/>
      <c r="G33" s="464"/>
      <c r="H33" s="31"/>
    </row>
    <row r="34" spans="2:8" ht="52.5" customHeight="1">
      <c r="B34" s="465" t="s">
        <v>34</v>
      </c>
      <c r="C34" s="465"/>
      <c r="D34" s="465"/>
      <c r="E34" s="465"/>
      <c r="F34" s="465"/>
      <c r="G34" s="465"/>
      <c r="H34" s="31"/>
    </row>
    <row r="35" spans="2:8" ht="72" customHeight="1">
      <c r="B35" s="475" t="s">
        <v>35</v>
      </c>
      <c r="C35" s="465"/>
      <c r="D35" s="465"/>
      <c r="E35" s="465"/>
      <c r="F35" s="465"/>
      <c r="G35" s="465"/>
      <c r="H35" s="31"/>
    </row>
    <row r="36" spans="2:8">
      <c r="B36" s="31"/>
      <c r="C36" s="38"/>
      <c r="D36" s="39"/>
      <c r="E36" s="39"/>
      <c r="F36" s="40"/>
      <c r="G36" s="31"/>
      <c r="H36" s="31"/>
    </row>
    <row r="37" spans="2:8">
      <c r="B37" s="31"/>
      <c r="C37" s="476" t="s">
        <v>36</v>
      </c>
      <c r="D37" s="476"/>
      <c r="E37" s="476"/>
      <c r="F37" s="41"/>
      <c r="G37" s="31"/>
      <c r="H37" s="31"/>
    </row>
    <row r="38" spans="2:8">
      <c r="B38" s="31"/>
      <c r="C38" s="42"/>
      <c r="D38" s="30"/>
      <c r="E38" s="30"/>
      <c r="F38" s="41"/>
      <c r="G38" s="31"/>
      <c r="H38" s="31"/>
    </row>
    <row r="39" spans="2:8">
      <c r="B39" s="31"/>
      <c r="C39" s="42"/>
      <c r="D39" s="30"/>
      <c r="E39" s="30"/>
      <c r="F39" s="41"/>
      <c r="G39" s="31"/>
      <c r="H39" s="31"/>
    </row>
    <row r="40" spans="2:8">
      <c r="B40" s="31"/>
      <c r="C40" s="32"/>
      <c r="D40" s="33"/>
      <c r="E40" s="33"/>
      <c r="F40" s="34"/>
      <c r="G40" s="31"/>
      <c r="H40" s="31"/>
    </row>
    <row r="41" spans="2:8">
      <c r="B41" s="31"/>
      <c r="C41" s="474" t="s">
        <v>37</v>
      </c>
      <c r="D41" s="474"/>
      <c r="E41" s="474"/>
      <c r="F41" s="43"/>
      <c r="G41" s="31"/>
      <c r="H41" s="31"/>
    </row>
    <row r="42" spans="2:8">
      <c r="B42" s="31"/>
      <c r="C42" s="474" t="s">
        <v>38</v>
      </c>
      <c r="D42" s="474"/>
      <c r="E42" s="474"/>
      <c r="F42" s="43"/>
      <c r="G42" s="31"/>
      <c r="H42" s="31"/>
    </row>
    <row r="43" spans="2:8">
      <c r="C43" s="42"/>
      <c r="D43" s="42"/>
      <c r="E43" s="42"/>
      <c r="F43" s="44"/>
    </row>
    <row r="44" spans="2:8">
      <c r="C44" s="42"/>
      <c r="D44" s="42"/>
      <c r="E44" s="42"/>
      <c r="F44" s="44"/>
    </row>
    <row r="45" spans="2:8">
      <c r="B45" s="1"/>
      <c r="C45" s="42"/>
      <c r="D45" s="42"/>
      <c r="E45" s="42"/>
      <c r="F45" s="44"/>
    </row>
    <row r="46" spans="2:8">
      <c r="C46" s="42"/>
      <c r="D46" s="42"/>
      <c r="E46" s="42"/>
      <c r="F46" s="44"/>
    </row>
  </sheetData>
  <mergeCells count="18">
    <mergeCell ref="C42:E42"/>
    <mergeCell ref="B35:G35"/>
    <mergeCell ref="C37:E37"/>
    <mergeCell ref="C41:E41"/>
    <mergeCell ref="B29:F29"/>
    <mergeCell ref="B31:G31"/>
    <mergeCell ref="B32:G32"/>
    <mergeCell ref="B1:B6"/>
    <mergeCell ref="B7:H7"/>
    <mergeCell ref="B9:H9"/>
    <mergeCell ref="B33:G33"/>
    <mergeCell ref="B34:G34"/>
    <mergeCell ref="B28:D28"/>
    <mergeCell ref="B23:H23"/>
    <mergeCell ref="C2:H2"/>
    <mergeCell ref="C3:H3"/>
    <mergeCell ref="C4:H4"/>
    <mergeCell ref="C5:H5"/>
  </mergeCells>
  <phoneticPr fontId="36" type="noConversion"/>
  <pageMargins left="0.25" right="0.25" top="0.75" bottom="0.75" header="0.3" footer="0.3"/>
  <pageSetup paperSize="9" scale="33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70C0"/>
  </sheetPr>
  <dimension ref="A1:P149"/>
  <sheetViews>
    <sheetView showGridLines="0" topLeftCell="A137" workbookViewId="0">
      <selection activeCell="D144" sqref="D144"/>
    </sheetView>
  </sheetViews>
  <sheetFormatPr defaultColWidth="9.109375" defaultRowHeight="13.2"/>
  <cols>
    <col min="1" max="2" width="13.6640625" style="23" customWidth="1"/>
    <col min="3" max="3" width="16.6640625" style="23" customWidth="1"/>
    <col min="4" max="4" width="14.6640625" style="23" customWidth="1"/>
    <col min="5" max="5" width="12.44140625" style="23" customWidth="1"/>
    <col min="6" max="6" width="13.109375" style="23" bestFit="1" customWidth="1"/>
    <col min="7" max="7" width="12.33203125" style="23" customWidth="1"/>
    <col min="8" max="8" width="20.44140625" style="23" customWidth="1"/>
    <col min="9" max="9" width="23.88671875" style="23" customWidth="1"/>
    <col min="10" max="10" width="14.33203125" style="23" bestFit="1" customWidth="1"/>
    <col min="11" max="11" width="11" style="23" bestFit="1" customWidth="1"/>
    <col min="12" max="12" width="10.44140625" style="23" bestFit="1" customWidth="1"/>
    <col min="13" max="13" width="11" style="23" bestFit="1" customWidth="1"/>
    <col min="14" max="14" width="9.109375" style="23"/>
    <col min="15" max="15" width="11.109375" style="23" customWidth="1"/>
    <col min="16" max="18" width="9.109375" style="23"/>
    <col min="19" max="19" width="9.44140625" style="23" bestFit="1" customWidth="1"/>
    <col min="20" max="16384" width="9.109375" style="23"/>
  </cols>
  <sheetData>
    <row r="1" spans="1:9" ht="61.5" customHeight="1">
      <c r="A1" s="582" t="s">
        <v>274</v>
      </c>
      <c r="B1" s="583"/>
      <c r="C1" s="583"/>
      <c r="D1" s="583"/>
      <c r="E1" s="583"/>
      <c r="F1" s="583"/>
      <c r="G1" s="583"/>
      <c r="H1" s="583"/>
      <c r="I1" s="583"/>
    </row>
    <row r="2" spans="1:9" ht="12.75" customHeight="1">
      <c r="A2" s="584" t="str">
        <f>'BASE-APR VR'!A50</f>
        <v>Nº Processo nº 10180.100793/2023-43</v>
      </c>
      <c r="B2" s="584"/>
      <c r="C2" s="584"/>
      <c r="D2" s="584"/>
      <c r="E2" s="584"/>
      <c r="F2" s="584"/>
      <c r="G2" s="584"/>
      <c r="H2" s="584"/>
      <c r="I2" s="584"/>
    </row>
    <row r="3" spans="1:9" ht="12.75" customHeight="1">
      <c r="A3" s="584" t="s">
        <v>275</v>
      </c>
      <c r="B3" s="584"/>
      <c r="C3" s="584"/>
      <c r="D3" s="584"/>
      <c r="E3" s="584"/>
      <c r="F3" s="584"/>
      <c r="G3" s="584"/>
      <c r="H3" s="584"/>
      <c r="I3" s="584"/>
    </row>
    <row r="4" spans="1:9" ht="12.75" customHeight="1">
      <c r="A4" s="214"/>
      <c r="B4" s="214"/>
      <c r="C4" s="214"/>
      <c r="D4" s="214"/>
      <c r="E4" s="214"/>
      <c r="F4" s="214"/>
      <c r="G4" s="214"/>
      <c r="H4" s="214"/>
      <c r="I4" s="214"/>
    </row>
    <row r="5" spans="1:9" ht="12.75" customHeight="1">
      <c r="A5" s="585"/>
      <c r="B5" s="585"/>
      <c r="C5" s="585"/>
      <c r="D5" s="585"/>
      <c r="E5" s="585"/>
      <c r="F5" s="585"/>
      <c r="G5" s="585"/>
      <c r="H5" s="585"/>
      <c r="I5" s="585"/>
    </row>
    <row r="6" spans="1:9" ht="21" customHeight="1">
      <c r="A6" s="586" t="s">
        <v>276</v>
      </c>
      <c r="B6" s="587"/>
      <c r="C6" s="587"/>
      <c r="D6" s="587"/>
      <c r="E6" s="587"/>
      <c r="F6" s="587"/>
      <c r="G6" s="587"/>
      <c r="H6" s="587"/>
      <c r="I6" s="588"/>
    </row>
    <row r="7" spans="1:9">
      <c r="A7" s="145" t="s">
        <v>277</v>
      </c>
      <c r="B7" s="592" t="s">
        <v>278</v>
      </c>
      <c r="C7" s="593"/>
      <c r="D7" s="593"/>
      <c r="E7" s="593"/>
      <c r="F7" s="593"/>
      <c r="G7" s="594"/>
      <c r="H7" s="595" t="s">
        <v>279</v>
      </c>
      <c r="I7" s="596"/>
    </row>
    <row r="8" spans="1:9">
      <c r="A8" s="9" t="s">
        <v>280</v>
      </c>
      <c r="B8" s="577" t="s">
        <v>281</v>
      </c>
      <c r="C8" s="578"/>
      <c r="D8" s="578"/>
      <c r="E8" s="578"/>
      <c r="F8" s="578"/>
      <c r="G8" s="579"/>
      <c r="H8" s="597" t="s">
        <v>260</v>
      </c>
      <c r="I8" s="598"/>
    </row>
    <row r="9" spans="1:9" ht="37.5" customHeight="1">
      <c r="A9" s="9" t="s">
        <v>282</v>
      </c>
      <c r="B9" s="577" t="s">
        <v>283</v>
      </c>
      <c r="C9" s="578"/>
      <c r="D9" s="578"/>
      <c r="E9" s="578"/>
      <c r="F9" s="578"/>
      <c r="G9" s="579"/>
      <c r="H9" s="580" t="str">
        <f>'BASE-APR VR'!A53</f>
        <v xml:space="preserve">GO000832/2023 </v>
      </c>
      <c r="I9" s="581"/>
    </row>
    <row r="10" spans="1:9">
      <c r="A10" s="9" t="s">
        <v>284</v>
      </c>
      <c r="B10" s="577" t="s">
        <v>285</v>
      </c>
      <c r="C10" s="578"/>
      <c r="D10" s="578"/>
      <c r="E10" s="578"/>
      <c r="F10" s="578"/>
      <c r="G10" s="579"/>
      <c r="H10" s="597">
        <v>12</v>
      </c>
      <c r="I10" s="598"/>
    </row>
    <row r="11" spans="1:9">
      <c r="A11" s="577" t="s">
        <v>286</v>
      </c>
      <c r="B11" s="578"/>
      <c r="C11" s="578"/>
      <c r="D11" s="578"/>
      <c r="E11" s="578"/>
      <c r="F11" s="578"/>
      <c r="G11" s="578"/>
      <c r="H11" s="578"/>
      <c r="I11" s="579"/>
    </row>
    <row r="12" spans="1:9">
      <c r="A12" s="603"/>
      <c r="B12" s="604"/>
      <c r="C12" s="604"/>
      <c r="D12" s="604"/>
      <c r="E12" s="604"/>
      <c r="F12" s="604"/>
      <c r="G12" s="604"/>
      <c r="H12" s="604"/>
      <c r="I12" s="605"/>
    </row>
    <row r="13" spans="1:9">
      <c r="A13" s="606" t="s">
        <v>287</v>
      </c>
      <c r="B13" s="607"/>
      <c r="C13" s="607"/>
      <c r="D13" s="607"/>
      <c r="E13" s="607"/>
      <c r="F13" s="607"/>
      <c r="G13" s="607"/>
      <c r="H13" s="607"/>
      <c r="I13" s="608"/>
    </row>
    <row r="14" spans="1:9">
      <c r="A14" s="589" t="s">
        <v>288</v>
      </c>
      <c r="B14" s="590"/>
      <c r="C14" s="590"/>
      <c r="D14" s="590"/>
      <c r="E14" s="590"/>
      <c r="F14" s="590"/>
      <c r="G14" s="590"/>
      <c r="H14" s="590"/>
      <c r="I14" s="591"/>
    </row>
    <row r="15" spans="1:9" ht="42" customHeight="1">
      <c r="A15" s="9">
        <v>1</v>
      </c>
      <c r="B15" s="577" t="s">
        <v>289</v>
      </c>
      <c r="C15" s="578"/>
      <c r="D15" s="578"/>
      <c r="E15" s="578"/>
      <c r="F15" s="578"/>
      <c r="G15" s="579"/>
      <c r="H15" s="599" t="s">
        <v>290</v>
      </c>
      <c r="I15" s="600"/>
    </row>
    <row r="16" spans="1:9">
      <c r="A16" s="9">
        <v>2</v>
      </c>
      <c r="B16" s="577" t="s">
        <v>291</v>
      </c>
      <c r="C16" s="578"/>
      <c r="D16" s="578"/>
      <c r="E16" s="578"/>
      <c r="F16" s="578"/>
      <c r="G16" s="579"/>
      <c r="H16" s="601" t="s">
        <v>292</v>
      </c>
      <c r="I16" s="602"/>
    </row>
    <row r="17" spans="1:13">
      <c r="A17" s="9">
        <v>3</v>
      </c>
      <c r="B17" s="577" t="s">
        <v>293</v>
      </c>
      <c r="C17" s="578"/>
      <c r="D17" s="578"/>
      <c r="E17" s="578"/>
      <c r="F17" s="578"/>
      <c r="G17" s="579"/>
      <c r="H17" s="601">
        <f>'BASE-APR VR'!C15</f>
        <v>1500</v>
      </c>
      <c r="I17" s="602"/>
    </row>
    <row r="18" spans="1:13">
      <c r="A18" s="9">
        <v>4</v>
      </c>
      <c r="B18" s="577" t="s">
        <v>294</v>
      </c>
      <c r="C18" s="578"/>
      <c r="D18" s="578"/>
      <c r="E18" s="578"/>
      <c r="F18" s="578"/>
      <c r="G18" s="579"/>
      <c r="H18" s="601" t="s">
        <v>295</v>
      </c>
      <c r="I18" s="602"/>
    </row>
    <row r="19" spans="1:13">
      <c r="A19" s="14">
        <v>5</v>
      </c>
      <c r="B19" s="577" t="s">
        <v>296</v>
      </c>
      <c r="C19" s="578"/>
      <c r="D19" s="578"/>
      <c r="E19" s="578"/>
      <c r="F19" s="578"/>
      <c r="G19" s="579"/>
      <c r="H19" s="612" t="s">
        <v>247</v>
      </c>
      <c r="I19" s="613"/>
    </row>
    <row r="20" spans="1:13">
      <c r="A20" s="614"/>
      <c r="B20" s="615"/>
      <c r="C20" s="615"/>
      <c r="D20" s="615"/>
      <c r="E20" s="615"/>
      <c r="F20" s="615"/>
      <c r="G20" s="615"/>
      <c r="H20" s="615"/>
      <c r="I20" s="616"/>
    </row>
    <row r="21" spans="1:13">
      <c r="A21" s="606" t="s">
        <v>297</v>
      </c>
      <c r="B21" s="607"/>
      <c r="C21" s="607"/>
      <c r="D21" s="607"/>
      <c r="E21" s="607"/>
      <c r="F21" s="607"/>
      <c r="G21" s="607"/>
      <c r="H21" s="607"/>
      <c r="I21" s="608"/>
    </row>
    <row r="22" spans="1:13">
      <c r="A22" s="146">
        <v>1</v>
      </c>
      <c r="B22" s="589" t="s">
        <v>298</v>
      </c>
      <c r="C22" s="590"/>
      <c r="D22" s="590"/>
      <c r="E22" s="590"/>
      <c r="F22" s="590"/>
      <c r="G22" s="591"/>
      <c r="H22" s="146" t="s">
        <v>299</v>
      </c>
      <c r="I22" s="147" t="s">
        <v>300</v>
      </c>
    </row>
    <row r="23" spans="1:13">
      <c r="A23" s="9" t="s">
        <v>277</v>
      </c>
      <c r="B23" s="577" t="s">
        <v>301</v>
      </c>
      <c r="C23" s="578"/>
      <c r="D23" s="578"/>
      <c r="E23" s="578"/>
      <c r="F23" s="578"/>
      <c r="G23" s="578"/>
      <c r="H23" s="579"/>
      <c r="I23" s="148">
        <f>'BASE-APR VR'!C15</f>
        <v>1500</v>
      </c>
    </row>
    <row r="24" spans="1:13">
      <c r="A24" s="9" t="s">
        <v>280</v>
      </c>
      <c r="B24" s="620" t="s">
        <v>302</v>
      </c>
      <c r="C24" s="621"/>
      <c r="D24" s="621"/>
      <c r="E24" s="621"/>
      <c r="F24" s="621"/>
      <c r="G24" s="622"/>
      <c r="H24" s="217"/>
      <c r="I24" s="222"/>
      <c r="M24" s="198"/>
    </row>
    <row r="25" spans="1:13">
      <c r="A25" s="9" t="s">
        <v>282</v>
      </c>
      <c r="B25" s="609" t="s">
        <v>303</v>
      </c>
      <c r="C25" s="610"/>
      <c r="D25" s="610"/>
      <c r="E25" s="610"/>
      <c r="F25" s="610"/>
      <c r="G25" s="611"/>
      <c r="H25" s="68"/>
      <c r="I25" s="225"/>
    </row>
    <row r="26" spans="1:13">
      <c r="A26" s="9"/>
      <c r="B26" s="617" t="s">
        <v>304</v>
      </c>
      <c r="C26" s="618"/>
      <c r="D26" s="618"/>
      <c r="E26" s="618"/>
      <c r="F26" s="618"/>
      <c r="G26" s="619"/>
      <c r="H26" s="68"/>
      <c r="I26" s="225"/>
    </row>
    <row r="27" spans="1:13">
      <c r="A27" s="9" t="s">
        <v>284</v>
      </c>
      <c r="B27" s="584" t="s">
        <v>305</v>
      </c>
      <c r="C27" s="584"/>
      <c r="D27" s="584"/>
      <c r="E27" s="584"/>
      <c r="F27" s="584"/>
      <c r="G27" s="584"/>
      <c r="H27" s="9"/>
      <c r="I27" s="222"/>
    </row>
    <row r="28" spans="1:13">
      <c r="A28" s="9" t="s">
        <v>306</v>
      </c>
      <c r="B28" s="584" t="s">
        <v>307</v>
      </c>
      <c r="C28" s="584"/>
      <c r="D28" s="584"/>
      <c r="E28" s="584"/>
      <c r="F28" s="584"/>
      <c r="G28" s="584"/>
      <c r="H28" s="64"/>
      <c r="I28" s="222"/>
    </row>
    <row r="29" spans="1:13">
      <c r="A29" s="28" t="s">
        <v>308</v>
      </c>
      <c r="B29" s="584" t="s">
        <v>309</v>
      </c>
      <c r="C29" s="584"/>
      <c r="D29" s="584"/>
      <c r="E29" s="584"/>
      <c r="F29" s="584"/>
      <c r="G29" s="584"/>
      <c r="H29" s="64"/>
      <c r="I29" s="222"/>
    </row>
    <row r="30" spans="1:13">
      <c r="A30" s="638" t="s">
        <v>110</v>
      </c>
      <c r="B30" s="639"/>
      <c r="C30" s="639"/>
      <c r="D30" s="639"/>
      <c r="E30" s="639"/>
      <c r="F30" s="639"/>
      <c r="G30" s="639"/>
      <c r="H30" s="640"/>
      <c r="I30" s="151">
        <f>SUM(I23:I29)</f>
        <v>1500</v>
      </c>
    </row>
    <row r="31" spans="1:13" ht="32.25" customHeight="1">
      <c r="A31" s="641" t="s">
        <v>310</v>
      </c>
      <c r="B31" s="642"/>
      <c r="C31" s="642"/>
      <c r="D31" s="642"/>
      <c r="E31" s="642"/>
      <c r="F31" s="642"/>
      <c r="G31" s="642"/>
      <c r="H31" s="642"/>
      <c r="I31" s="643"/>
    </row>
    <row r="32" spans="1:13">
      <c r="A32" s="644" t="s">
        <v>311</v>
      </c>
      <c r="B32" s="645"/>
      <c r="C32" s="645"/>
      <c r="D32" s="645"/>
      <c r="E32" s="645"/>
      <c r="F32" s="645"/>
      <c r="G32" s="645"/>
      <c r="H32" s="645"/>
      <c r="I32" s="646"/>
    </row>
    <row r="33" spans="1:16">
      <c r="A33" s="152" t="s">
        <v>312</v>
      </c>
      <c r="B33" s="586" t="s">
        <v>313</v>
      </c>
      <c r="C33" s="587"/>
      <c r="D33" s="587"/>
      <c r="E33" s="587"/>
      <c r="F33" s="587"/>
      <c r="G33" s="587"/>
      <c r="H33" s="153" t="s">
        <v>314</v>
      </c>
      <c r="I33" s="154" t="s">
        <v>300</v>
      </c>
    </row>
    <row r="34" spans="1:16" ht="29.25" customHeight="1">
      <c r="A34" s="13" t="s">
        <v>277</v>
      </c>
      <c r="B34" s="637" t="s">
        <v>315</v>
      </c>
      <c r="C34" s="578"/>
      <c r="D34" s="578"/>
      <c r="E34" s="578"/>
      <c r="F34" s="578"/>
      <c r="G34" s="579"/>
      <c r="H34" s="155">
        <v>8.3333333333333329E-2</v>
      </c>
      <c r="I34" s="222">
        <f>TRUNC($I$30*H34,2)</f>
        <v>125</v>
      </c>
    </row>
    <row r="35" spans="1:16" ht="34.5" customHeight="1">
      <c r="A35" s="13" t="s">
        <v>316</v>
      </c>
      <c r="B35" s="637" t="s">
        <v>317</v>
      </c>
      <c r="C35" s="578"/>
      <c r="D35" s="578"/>
      <c r="E35" s="578"/>
      <c r="F35" s="578"/>
      <c r="G35" s="579"/>
      <c r="H35" s="218">
        <v>3.0249999999999999E-2</v>
      </c>
      <c r="I35" s="222">
        <f>TRUNC($I$30*H35,2)</f>
        <v>45.37</v>
      </c>
    </row>
    <row r="36" spans="1:16">
      <c r="A36" s="623" t="s">
        <v>110</v>
      </c>
      <c r="B36" s="624"/>
      <c r="C36" s="624"/>
      <c r="D36" s="624"/>
      <c r="E36" s="624"/>
      <c r="F36" s="624"/>
      <c r="G36" s="625"/>
      <c r="H36" s="156">
        <f>SUM(H34:H35)</f>
        <v>0.11358333333333333</v>
      </c>
      <c r="I36" s="157">
        <f>SUM(I34:I35)</f>
        <v>170.37</v>
      </c>
    </row>
    <row r="37" spans="1:16" ht="132.75" customHeight="1">
      <c r="A37" s="647" t="s">
        <v>318</v>
      </c>
      <c r="B37" s="648"/>
      <c r="C37" s="648"/>
      <c r="D37" s="648"/>
      <c r="E37" s="648"/>
      <c r="F37" s="648"/>
      <c r="G37" s="648"/>
      <c r="H37" s="648"/>
      <c r="I37" s="649"/>
    </row>
    <row r="38" spans="1:16">
      <c r="A38" s="626" t="s">
        <v>319</v>
      </c>
      <c r="B38" s="627"/>
      <c r="C38" s="627"/>
      <c r="D38" s="627"/>
      <c r="E38" s="627"/>
      <c r="F38" s="627"/>
      <c r="G38" s="628"/>
      <c r="H38" s="158" t="s">
        <v>320</v>
      </c>
      <c r="I38" s="159">
        <f>I30</f>
        <v>1500</v>
      </c>
    </row>
    <row r="39" spans="1:16">
      <c r="A39" s="629"/>
      <c r="B39" s="630"/>
      <c r="C39" s="630"/>
      <c r="D39" s="630"/>
      <c r="E39" s="630"/>
      <c r="F39" s="630"/>
      <c r="G39" s="631"/>
      <c r="H39" s="158" t="s">
        <v>321</v>
      </c>
      <c r="I39" s="159">
        <f>I36</f>
        <v>170.37</v>
      </c>
    </row>
    <row r="40" spans="1:16">
      <c r="A40" s="632"/>
      <c r="B40" s="633"/>
      <c r="C40" s="633"/>
      <c r="D40" s="633"/>
      <c r="E40" s="633"/>
      <c r="F40" s="633"/>
      <c r="G40" s="634"/>
      <c r="H40" s="158" t="s">
        <v>110</v>
      </c>
      <c r="I40" s="159">
        <f>SUM(I38:I39)</f>
        <v>1670.37</v>
      </c>
    </row>
    <row r="41" spans="1:16" ht="32.25" customHeight="1">
      <c r="A41" s="586" t="s">
        <v>322</v>
      </c>
      <c r="B41" s="635"/>
      <c r="C41" s="635"/>
      <c r="D41" s="635"/>
      <c r="E41" s="635"/>
      <c r="F41" s="635"/>
      <c r="G41" s="635"/>
      <c r="H41" s="635"/>
      <c r="I41" s="636"/>
    </row>
    <row r="42" spans="1:16" ht="12.75" customHeight="1">
      <c r="A42" s="160" t="s">
        <v>323</v>
      </c>
      <c r="B42" s="589" t="s">
        <v>324</v>
      </c>
      <c r="C42" s="590"/>
      <c r="D42" s="590"/>
      <c r="E42" s="590"/>
      <c r="F42" s="590"/>
      <c r="G42" s="591"/>
      <c r="H42" s="153" t="s">
        <v>314</v>
      </c>
      <c r="I42" s="161" t="s">
        <v>300</v>
      </c>
      <c r="M42" s="198"/>
    </row>
    <row r="43" spans="1:16">
      <c r="A43" s="162" t="s">
        <v>277</v>
      </c>
      <c r="B43" s="637" t="s">
        <v>325</v>
      </c>
      <c r="C43" s="578"/>
      <c r="D43" s="578"/>
      <c r="E43" s="578"/>
      <c r="F43" s="578"/>
      <c r="G43" s="579"/>
      <c r="H43" s="149">
        <v>0.2</v>
      </c>
      <c r="I43" s="222">
        <f>TRUNC(I40*H43,2)</f>
        <v>334.07</v>
      </c>
    </row>
    <row r="44" spans="1:16">
      <c r="A44" s="162" t="s">
        <v>280</v>
      </c>
      <c r="B44" s="637" t="s">
        <v>326</v>
      </c>
      <c r="C44" s="578"/>
      <c r="D44" s="664"/>
      <c r="E44" s="664"/>
      <c r="F44" s="664"/>
      <c r="G44" s="665"/>
      <c r="H44" s="149">
        <v>2.5000000000000001E-2</v>
      </c>
      <c r="I44" s="222">
        <f>TRUNC(I40*H44,2)</f>
        <v>41.75</v>
      </c>
    </row>
    <row r="45" spans="1:16" ht="35.25" customHeight="1">
      <c r="A45" s="162" t="s">
        <v>282</v>
      </c>
      <c r="B45" s="637" t="s">
        <v>327</v>
      </c>
      <c r="C45" s="668"/>
      <c r="D45" s="238" t="s">
        <v>328</v>
      </c>
      <c r="E45" s="220"/>
      <c r="F45" s="238" t="s">
        <v>329</v>
      </c>
      <c r="G45" s="220"/>
      <c r="H45" s="244">
        <f>3%*1.2002</f>
        <v>3.6005999999999996E-2</v>
      </c>
      <c r="I45" s="222">
        <f>TRUNC(I40*H45,2)</f>
        <v>60.14</v>
      </c>
    </row>
    <row r="46" spans="1:16">
      <c r="A46" s="162" t="s">
        <v>284</v>
      </c>
      <c r="B46" s="637" t="s">
        <v>330</v>
      </c>
      <c r="C46" s="578"/>
      <c r="D46" s="666"/>
      <c r="E46" s="666"/>
      <c r="F46" s="666"/>
      <c r="G46" s="667"/>
      <c r="H46" s="149">
        <v>1.4999999999999999E-2</v>
      </c>
      <c r="I46" s="222">
        <f>TRUNC(I40*H46,2)</f>
        <v>25.05</v>
      </c>
    </row>
    <row r="47" spans="1:16">
      <c r="A47" s="162" t="s">
        <v>306</v>
      </c>
      <c r="B47" s="637" t="s">
        <v>331</v>
      </c>
      <c r="C47" s="578"/>
      <c r="D47" s="578"/>
      <c r="E47" s="578"/>
      <c r="F47" s="578"/>
      <c r="G47" s="579"/>
      <c r="H47" s="149">
        <v>0.01</v>
      </c>
      <c r="I47" s="222">
        <f>TRUNC(I40*H47,2)</f>
        <v>16.7</v>
      </c>
    </row>
    <row r="48" spans="1:16">
      <c r="A48" s="162" t="s">
        <v>308</v>
      </c>
      <c r="B48" s="637" t="s">
        <v>332</v>
      </c>
      <c r="C48" s="578"/>
      <c r="D48" s="578"/>
      <c r="E48" s="578"/>
      <c r="F48" s="578"/>
      <c r="G48" s="579"/>
      <c r="H48" s="149">
        <v>6.0000000000000001E-3</v>
      </c>
      <c r="I48" s="222">
        <f>TRUNC(I40*H48,2)</f>
        <v>10.02</v>
      </c>
      <c r="K48" s="198"/>
      <c r="L48" s="198"/>
      <c r="M48" s="198"/>
      <c r="O48" s="198"/>
      <c r="P48" s="201"/>
    </row>
    <row r="49" spans="1:11">
      <c r="A49" s="162" t="s">
        <v>333</v>
      </c>
      <c r="B49" s="637" t="s">
        <v>334</v>
      </c>
      <c r="C49" s="578"/>
      <c r="D49" s="578"/>
      <c r="E49" s="578"/>
      <c r="F49" s="578"/>
      <c r="G49" s="579"/>
      <c r="H49" s="149">
        <v>2E-3</v>
      </c>
      <c r="I49" s="222">
        <f>TRUNC(I40*H49,2)</f>
        <v>3.34</v>
      </c>
    </row>
    <row r="50" spans="1:11">
      <c r="A50" s="163" t="s">
        <v>335</v>
      </c>
      <c r="B50" s="577" t="s">
        <v>336</v>
      </c>
      <c r="C50" s="578"/>
      <c r="D50" s="578"/>
      <c r="E50" s="578"/>
      <c r="F50" s="578"/>
      <c r="G50" s="579"/>
      <c r="H50" s="219">
        <v>0.08</v>
      </c>
      <c r="I50" s="226">
        <f>TRUNC(I40*H50,2)</f>
        <v>133.62</v>
      </c>
    </row>
    <row r="51" spans="1:11">
      <c r="A51" s="650" t="s">
        <v>337</v>
      </c>
      <c r="B51" s="651"/>
      <c r="C51" s="651"/>
      <c r="D51" s="651"/>
      <c r="E51" s="651"/>
      <c r="F51" s="651"/>
      <c r="G51" s="652"/>
      <c r="H51" s="156">
        <f>SUM(H43:H50)</f>
        <v>0.37400600000000006</v>
      </c>
      <c r="I51" s="157">
        <f>SUM(I43:I50)</f>
        <v>624.68999999999994</v>
      </c>
    </row>
    <row r="52" spans="1:11" ht="76.5" customHeight="1">
      <c r="A52" s="647" t="s">
        <v>338</v>
      </c>
      <c r="B52" s="648"/>
      <c r="C52" s="648"/>
      <c r="D52" s="648"/>
      <c r="E52" s="648"/>
      <c r="F52" s="648"/>
      <c r="G52" s="648"/>
      <c r="H52" s="648"/>
      <c r="I52" s="649"/>
    </row>
    <row r="53" spans="1:11">
      <c r="A53" s="653" t="s">
        <v>339</v>
      </c>
      <c r="B53" s="654"/>
      <c r="C53" s="654"/>
      <c r="D53" s="654"/>
      <c r="E53" s="654"/>
      <c r="F53" s="654"/>
      <c r="G53" s="654"/>
      <c r="H53" s="654"/>
      <c r="I53" s="654"/>
    </row>
    <row r="54" spans="1:11">
      <c r="A54" s="164" t="s">
        <v>340</v>
      </c>
      <c r="B54" s="655" t="s">
        <v>341</v>
      </c>
      <c r="C54" s="656"/>
      <c r="D54" s="656"/>
      <c r="E54" s="656"/>
      <c r="F54" s="656"/>
      <c r="G54" s="656"/>
      <c r="H54" s="657"/>
      <c r="I54" s="165" t="s">
        <v>300</v>
      </c>
    </row>
    <row r="55" spans="1:11" ht="30.75" customHeight="1">
      <c r="A55" s="13" t="s">
        <v>277</v>
      </c>
      <c r="B55" s="658" t="s">
        <v>342</v>
      </c>
      <c r="C55" s="659"/>
      <c r="D55" s="659"/>
      <c r="E55" s="659"/>
      <c r="F55" s="659"/>
      <c r="G55" s="659"/>
      <c r="H55" s="660"/>
      <c r="I55" s="166">
        <f>TRUNC(('BASE-Tarifas de Passagens'!F4*2*22)-(I23*H58),2)</f>
        <v>99.2</v>
      </c>
      <c r="J55" s="200"/>
    </row>
    <row r="56" spans="1:11" ht="12.75" customHeight="1">
      <c r="A56" s="13"/>
      <c r="B56" s="661" t="s">
        <v>343</v>
      </c>
      <c r="C56" s="662"/>
      <c r="D56" s="662"/>
      <c r="E56" s="662"/>
      <c r="F56" s="662"/>
      <c r="G56" s="663"/>
      <c r="H56" s="197">
        <f>'BASE-Tarifas de Passagens'!F4</f>
        <v>4.3</v>
      </c>
      <c r="I56" s="148" t="s">
        <v>344</v>
      </c>
    </row>
    <row r="57" spans="1:11" ht="12.75" customHeight="1">
      <c r="A57" s="16"/>
      <c r="B57" s="661" t="s">
        <v>345</v>
      </c>
      <c r="C57" s="662"/>
      <c r="D57" s="662"/>
      <c r="E57" s="662"/>
      <c r="F57" s="662"/>
      <c r="G57" s="663"/>
      <c r="H57" s="227">
        <v>44</v>
      </c>
      <c r="I57" s="167" t="s">
        <v>344</v>
      </c>
    </row>
    <row r="58" spans="1:11" ht="12.75" customHeight="1">
      <c r="A58" s="13"/>
      <c r="B58" s="661" t="s">
        <v>346</v>
      </c>
      <c r="C58" s="662"/>
      <c r="D58" s="662"/>
      <c r="E58" s="662"/>
      <c r="F58" s="662"/>
      <c r="G58" s="663"/>
      <c r="H58" s="228">
        <v>0.06</v>
      </c>
      <c r="I58" s="148"/>
    </row>
    <row r="59" spans="1:11" ht="30.75" customHeight="1">
      <c r="A59" s="13" t="s">
        <v>280</v>
      </c>
      <c r="B59" s="672" t="s">
        <v>347</v>
      </c>
      <c r="C59" s="584"/>
      <c r="D59" s="584"/>
      <c r="E59" s="584"/>
      <c r="F59" s="584"/>
      <c r="G59" s="584"/>
      <c r="H59" s="9"/>
      <c r="I59" s="148">
        <f>'BASE-APR VR'!G24</f>
        <v>391.6</v>
      </c>
      <c r="J59" s="200"/>
      <c r="K59" s="202"/>
    </row>
    <row r="60" spans="1:11" ht="12.75" customHeight="1">
      <c r="A60" s="13" t="s">
        <v>282</v>
      </c>
      <c r="B60" s="672" t="s">
        <v>348</v>
      </c>
      <c r="C60" s="584"/>
      <c r="D60" s="584"/>
      <c r="E60" s="584"/>
      <c r="F60" s="584"/>
      <c r="G60" s="584"/>
      <c r="H60" s="64"/>
      <c r="I60" s="148">
        <v>16</v>
      </c>
      <c r="J60" s="202"/>
    </row>
    <row r="61" spans="1:11" ht="12.75" customHeight="1">
      <c r="A61" s="13" t="s">
        <v>306</v>
      </c>
      <c r="B61" s="672" t="s">
        <v>349</v>
      </c>
      <c r="C61" s="584"/>
      <c r="D61" s="584"/>
      <c r="E61" s="584"/>
      <c r="F61" s="584"/>
      <c r="G61" s="584"/>
      <c r="H61" s="64"/>
      <c r="I61" s="166">
        <v>2.54</v>
      </c>
    </row>
    <row r="62" spans="1:11">
      <c r="A62" s="168"/>
      <c r="B62" s="623" t="s">
        <v>337</v>
      </c>
      <c r="C62" s="624"/>
      <c r="D62" s="624"/>
      <c r="E62" s="624"/>
      <c r="F62" s="624"/>
      <c r="G62" s="624"/>
      <c r="H62" s="625"/>
      <c r="I62" s="157">
        <f>SUM(I55:I61)</f>
        <v>509.34000000000003</v>
      </c>
    </row>
    <row r="63" spans="1:11" ht="54.75" customHeight="1">
      <c r="A63" s="673" t="s">
        <v>350</v>
      </c>
      <c r="B63" s="674"/>
      <c r="C63" s="674"/>
      <c r="D63" s="674"/>
      <c r="E63" s="674"/>
      <c r="F63" s="674"/>
      <c r="G63" s="674"/>
      <c r="H63" s="674"/>
      <c r="I63" s="675"/>
    </row>
    <row r="64" spans="1:11">
      <c r="A64" s="644" t="s">
        <v>351</v>
      </c>
      <c r="B64" s="645"/>
      <c r="C64" s="645"/>
      <c r="D64" s="645"/>
      <c r="E64" s="645"/>
      <c r="F64" s="645"/>
      <c r="G64" s="645"/>
      <c r="H64" s="645"/>
      <c r="I64" s="646"/>
    </row>
    <row r="65" spans="1:9">
      <c r="A65" s="169">
        <v>2</v>
      </c>
      <c r="B65" s="669" t="s">
        <v>352</v>
      </c>
      <c r="C65" s="670"/>
      <c r="D65" s="670"/>
      <c r="E65" s="670"/>
      <c r="F65" s="670"/>
      <c r="G65" s="670"/>
      <c r="H65" s="671"/>
      <c r="I65" s="170" t="s">
        <v>300</v>
      </c>
    </row>
    <row r="66" spans="1:9">
      <c r="A66" s="13" t="s">
        <v>312</v>
      </c>
      <c r="B66" s="577" t="s">
        <v>313</v>
      </c>
      <c r="C66" s="578"/>
      <c r="D66" s="578"/>
      <c r="E66" s="578"/>
      <c r="F66" s="578"/>
      <c r="G66" s="578"/>
      <c r="H66" s="579"/>
      <c r="I66" s="148">
        <f>I36</f>
        <v>170.37</v>
      </c>
    </row>
    <row r="67" spans="1:9">
      <c r="A67" s="13" t="s">
        <v>323</v>
      </c>
      <c r="B67" s="577" t="s">
        <v>324</v>
      </c>
      <c r="C67" s="578"/>
      <c r="D67" s="578"/>
      <c r="E67" s="578"/>
      <c r="F67" s="578"/>
      <c r="G67" s="578"/>
      <c r="H67" s="579"/>
      <c r="I67" s="148">
        <f>I51</f>
        <v>624.68999999999994</v>
      </c>
    </row>
    <row r="68" spans="1:9">
      <c r="A68" s="13" t="s">
        <v>340</v>
      </c>
      <c r="B68" s="577" t="s">
        <v>341</v>
      </c>
      <c r="C68" s="578"/>
      <c r="D68" s="578"/>
      <c r="E68" s="578"/>
      <c r="F68" s="578"/>
      <c r="G68" s="578"/>
      <c r="H68" s="579"/>
      <c r="I68" s="148">
        <f>I62</f>
        <v>509.34000000000003</v>
      </c>
    </row>
    <row r="69" spans="1:9">
      <c r="A69" s="623" t="s">
        <v>110</v>
      </c>
      <c r="B69" s="624"/>
      <c r="C69" s="624"/>
      <c r="D69" s="624"/>
      <c r="E69" s="624"/>
      <c r="F69" s="624"/>
      <c r="G69" s="624"/>
      <c r="H69" s="625"/>
      <c r="I69" s="157">
        <f>SUM(I66:I68)</f>
        <v>1304.4000000000001</v>
      </c>
    </row>
    <row r="70" spans="1:9">
      <c r="A70" s="603"/>
      <c r="B70" s="604"/>
      <c r="C70" s="604"/>
      <c r="D70" s="604"/>
      <c r="E70" s="604"/>
      <c r="F70" s="604"/>
      <c r="G70" s="604"/>
      <c r="H70" s="604"/>
      <c r="I70" s="605"/>
    </row>
    <row r="71" spans="1:9">
      <c r="A71" s="644" t="s">
        <v>353</v>
      </c>
      <c r="B71" s="645"/>
      <c r="C71" s="645"/>
      <c r="D71" s="645"/>
      <c r="E71" s="645"/>
      <c r="F71" s="645"/>
      <c r="G71" s="645"/>
      <c r="H71" s="645"/>
      <c r="I71" s="646"/>
    </row>
    <row r="72" spans="1:9" ht="26.4">
      <c r="A72" s="146">
        <v>3</v>
      </c>
      <c r="B72" s="589" t="s">
        <v>354</v>
      </c>
      <c r="C72" s="590"/>
      <c r="D72" s="590"/>
      <c r="E72" s="590"/>
      <c r="F72" s="590"/>
      <c r="G72" s="591"/>
      <c r="H72" s="146" t="s">
        <v>355</v>
      </c>
      <c r="I72" s="147" t="s">
        <v>300</v>
      </c>
    </row>
    <row r="73" spans="1:9" ht="12.75" customHeight="1">
      <c r="A73" s="13" t="s">
        <v>277</v>
      </c>
      <c r="B73" s="672" t="s">
        <v>356</v>
      </c>
      <c r="C73" s="584"/>
      <c r="D73" s="584"/>
      <c r="E73" s="584"/>
      <c r="F73" s="584"/>
      <c r="G73" s="584"/>
      <c r="H73" s="171">
        <v>4.5999999999999999E-3</v>
      </c>
      <c r="I73" s="222">
        <f>($I$30*H73)</f>
        <v>6.8999999999999995</v>
      </c>
    </row>
    <row r="74" spans="1:9" ht="12.75" customHeight="1">
      <c r="A74" s="15" t="s">
        <v>280</v>
      </c>
      <c r="B74" s="676" t="s">
        <v>357</v>
      </c>
      <c r="C74" s="677"/>
      <c r="D74" s="677"/>
      <c r="E74" s="677"/>
      <c r="F74" s="677"/>
      <c r="G74" s="677"/>
      <c r="H74" s="149">
        <v>4.0000000000000002E-4</v>
      </c>
      <c r="I74" s="222">
        <f>($I$30*H74)</f>
        <v>0.6</v>
      </c>
    </row>
    <row r="75" spans="1:9" ht="31.5" customHeight="1">
      <c r="A75" s="13" t="s">
        <v>282</v>
      </c>
      <c r="B75" s="720" t="s">
        <v>358</v>
      </c>
      <c r="C75" s="584"/>
      <c r="D75" s="584"/>
      <c r="E75" s="584"/>
      <c r="F75" s="584"/>
      <c r="G75" s="584"/>
      <c r="H75" s="221">
        <v>1.9400000000000001E-2</v>
      </c>
      <c r="I75" s="222">
        <f>($I$30*H75)</f>
        <v>29.1</v>
      </c>
    </row>
    <row r="76" spans="1:9" ht="31.5" customHeight="1">
      <c r="A76" s="15" t="s">
        <v>284</v>
      </c>
      <c r="B76" s="672" t="s">
        <v>359</v>
      </c>
      <c r="C76" s="584"/>
      <c r="D76" s="584"/>
      <c r="E76" s="584"/>
      <c r="F76" s="584"/>
      <c r="G76" s="584"/>
      <c r="H76" s="171">
        <v>7.1000000000000004E-3</v>
      </c>
      <c r="I76" s="222">
        <f>($I$30*H76)</f>
        <v>10.65</v>
      </c>
    </row>
    <row r="77" spans="1:9" ht="54" customHeight="1">
      <c r="A77" s="13" t="s">
        <v>306</v>
      </c>
      <c r="B77" s="672" t="s">
        <v>360</v>
      </c>
      <c r="C77" s="584"/>
      <c r="D77" s="584"/>
      <c r="E77" s="584"/>
      <c r="F77" s="584"/>
      <c r="G77" s="584"/>
      <c r="H77" s="171">
        <v>0.04</v>
      </c>
      <c r="I77" s="222">
        <f>($I$30*H77)</f>
        <v>60</v>
      </c>
    </row>
    <row r="78" spans="1:9">
      <c r="A78" s="623" t="s">
        <v>110</v>
      </c>
      <c r="B78" s="624"/>
      <c r="C78" s="624"/>
      <c r="D78" s="624"/>
      <c r="E78" s="624"/>
      <c r="F78" s="624"/>
      <c r="G78" s="624"/>
      <c r="H78" s="625"/>
      <c r="I78" s="157">
        <f>SUM(I73:I77)</f>
        <v>107.25</v>
      </c>
    </row>
    <row r="79" spans="1:9">
      <c r="A79" s="683" t="s">
        <v>361</v>
      </c>
      <c r="B79" s="684"/>
      <c r="C79" s="684"/>
      <c r="D79" s="684"/>
      <c r="E79" s="684"/>
      <c r="F79" s="684"/>
      <c r="G79" s="684"/>
      <c r="H79" s="172" t="s">
        <v>320</v>
      </c>
      <c r="I79" s="173">
        <f>I30</f>
        <v>1500</v>
      </c>
    </row>
    <row r="80" spans="1:9" ht="69" customHeight="1">
      <c r="A80" s="684"/>
      <c r="B80" s="684"/>
      <c r="C80" s="684"/>
      <c r="D80" s="684"/>
      <c r="E80" s="684"/>
      <c r="F80" s="684"/>
      <c r="G80" s="684"/>
      <c r="H80" s="242" t="s">
        <v>362</v>
      </c>
      <c r="I80" s="173">
        <f>I36+I51+I60+I61</f>
        <v>813.59999999999991</v>
      </c>
    </row>
    <row r="81" spans="1:12">
      <c r="A81" s="684"/>
      <c r="B81" s="684"/>
      <c r="C81" s="684"/>
      <c r="D81" s="684"/>
      <c r="E81" s="684"/>
      <c r="F81" s="684"/>
      <c r="G81" s="684"/>
      <c r="H81" s="172" t="s">
        <v>363</v>
      </c>
      <c r="I81" s="173">
        <f>I78</f>
        <v>107.25</v>
      </c>
    </row>
    <row r="82" spans="1:12">
      <c r="A82" s="684"/>
      <c r="B82" s="684"/>
      <c r="C82" s="684"/>
      <c r="D82" s="684"/>
      <c r="E82" s="684"/>
      <c r="F82" s="684"/>
      <c r="G82" s="684"/>
      <c r="H82" s="174" t="s">
        <v>110</v>
      </c>
      <c r="I82" s="175">
        <f>SUM(I79:I81)</f>
        <v>2420.85</v>
      </c>
    </row>
    <row r="83" spans="1:12">
      <c r="A83" s="606" t="s">
        <v>364</v>
      </c>
      <c r="B83" s="607"/>
      <c r="C83" s="607"/>
      <c r="D83" s="607"/>
      <c r="E83" s="607"/>
      <c r="F83" s="607"/>
      <c r="G83" s="607"/>
      <c r="H83" s="607"/>
      <c r="I83" s="608"/>
    </row>
    <row r="84" spans="1:12" ht="60.75" customHeight="1">
      <c r="A84" s="685" t="s">
        <v>365</v>
      </c>
      <c r="B84" s="686"/>
      <c r="C84" s="686"/>
      <c r="D84" s="686"/>
      <c r="E84" s="686"/>
      <c r="F84" s="686"/>
      <c r="G84" s="686"/>
      <c r="H84" s="686"/>
      <c r="I84" s="687"/>
    </row>
    <row r="85" spans="1:12">
      <c r="A85" s="176" t="s">
        <v>366</v>
      </c>
      <c r="B85" s="654" t="s">
        <v>367</v>
      </c>
      <c r="C85" s="654"/>
      <c r="D85" s="654"/>
      <c r="E85" s="654"/>
      <c r="F85" s="654"/>
      <c r="G85" s="654"/>
      <c r="H85" s="146" t="s">
        <v>314</v>
      </c>
      <c r="I85" s="177" t="s">
        <v>300</v>
      </c>
    </row>
    <row r="86" spans="1:12" ht="25.5" customHeight="1">
      <c r="A86" s="13" t="s">
        <v>277</v>
      </c>
      <c r="B86" s="678" t="s">
        <v>368</v>
      </c>
      <c r="C86" s="679"/>
      <c r="D86" s="679"/>
      <c r="E86" s="679"/>
      <c r="F86" s="679"/>
      <c r="G86" s="679"/>
      <c r="H86" s="229">
        <v>9.0749999999999997E-2</v>
      </c>
      <c r="I86" s="148">
        <f>H86*$I$82</f>
        <v>219.69213749999997</v>
      </c>
      <c r="K86" s="203"/>
      <c r="L86" s="198"/>
    </row>
    <row r="87" spans="1:12" ht="39.75" customHeight="1">
      <c r="A87" s="13" t="s">
        <v>280</v>
      </c>
      <c r="B87" s="678" t="s">
        <v>369</v>
      </c>
      <c r="C87" s="679"/>
      <c r="D87" s="679"/>
      <c r="E87" s="679"/>
      <c r="F87" s="679"/>
      <c r="G87" s="679"/>
      <c r="H87" s="149">
        <v>1.6299999999999999E-2</v>
      </c>
      <c r="I87" s="148">
        <f>H87*$I$82</f>
        <v>39.459854999999997</v>
      </c>
    </row>
    <row r="88" spans="1:12" ht="35.25" customHeight="1">
      <c r="A88" s="13" t="s">
        <v>282</v>
      </c>
      <c r="B88" s="678" t="s">
        <v>370</v>
      </c>
      <c r="C88" s="679"/>
      <c r="D88" s="679"/>
      <c r="E88" s="679"/>
      <c r="F88" s="679"/>
      <c r="G88" s="679"/>
      <c r="H88" s="171">
        <v>2.0000000000000001E-4</v>
      </c>
      <c r="I88" s="148">
        <f>H88*$I$82</f>
        <v>0.48416999999999999</v>
      </c>
    </row>
    <row r="89" spans="1:12" ht="50.25" customHeight="1">
      <c r="A89" s="13" t="s">
        <v>284</v>
      </c>
      <c r="B89" s="678" t="s">
        <v>371</v>
      </c>
      <c r="C89" s="679"/>
      <c r="D89" s="679"/>
      <c r="E89" s="679"/>
      <c r="F89" s="679"/>
      <c r="G89" s="679"/>
      <c r="H89" s="149">
        <v>3.3E-3</v>
      </c>
      <c r="I89" s="148">
        <f>H89*$I$82</f>
        <v>7.9888049999999993</v>
      </c>
      <c r="K89" s="230"/>
    </row>
    <row r="90" spans="1:12" ht="45" customHeight="1">
      <c r="A90" s="13" t="s">
        <v>306</v>
      </c>
      <c r="B90" s="678" t="s">
        <v>372</v>
      </c>
      <c r="C90" s="679"/>
      <c r="D90" s="679"/>
      <c r="E90" s="679"/>
      <c r="F90" s="679"/>
      <c r="G90" s="679"/>
      <c r="H90" s="178">
        <v>5.5000000000000003E-4</v>
      </c>
      <c r="I90" s="148">
        <f>H90*$I$82</f>
        <v>1.3314675</v>
      </c>
    </row>
    <row r="91" spans="1:12">
      <c r="A91" s="14" t="s">
        <v>308</v>
      </c>
      <c r="B91" s="677" t="s">
        <v>373</v>
      </c>
      <c r="C91" s="677"/>
      <c r="D91" s="677"/>
      <c r="E91" s="677"/>
      <c r="F91" s="677"/>
      <c r="G91" s="677"/>
      <c r="H91" s="149" t="s">
        <v>374</v>
      </c>
      <c r="I91" s="148"/>
    </row>
    <row r="92" spans="1:12">
      <c r="A92" s="623" t="s">
        <v>337</v>
      </c>
      <c r="B92" s="624"/>
      <c r="C92" s="624"/>
      <c r="D92" s="624"/>
      <c r="E92" s="624"/>
      <c r="F92" s="624"/>
      <c r="G92" s="624"/>
      <c r="H92" s="625"/>
      <c r="I92" s="205">
        <f>SUM(I86:I91)</f>
        <v>268.95643499999994</v>
      </c>
    </row>
    <row r="93" spans="1:12">
      <c r="A93" s="176" t="s">
        <v>375</v>
      </c>
      <c r="B93" s="680" t="s">
        <v>376</v>
      </c>
      <c r="C93" s="681"/>
      <c r="D93" s="681"/>
      <c r="E93" s="681"/>
      <c r="F93" s="681"/>
      <c r="G93" s="681"/>
      <c r="H93" s="682"/>
      <c r="I93" s="177" t="s">
        <v>300</v>
      </c>
    </row>
    <row r="94" spans="1:12">
      <c r="A94" s="13" t="s">
        <v>277</v>
      </c>
      <c r="B94" s="584" t="s">
        <v>377</v>
      </c>
      <c r="C94" s="584"/>
      <c r="D94" s="584"/>
      <c r="E94" s="584"/>
      <c r="F94" s="584"/>
      <c r="G94" s="584"/>
      <c r="H94" s="179"/>
      <c r="I94" s="180">
        <v>0</v>
      </c>
    </row>
    <row r="95" spans="1:12">
      <c r="A95" s="623" t="s">
        <v>337</v>
      </c>
      <c r="B95" s="624"/>
      <c r="C95" s="624"/>
      <c r="D95" s="624"/>
      <c r="E95" s="624"/>
      <c r="F95" s="624"/>
      <c r="G95" s="624"/>
      <c r="H95" s="625"/>
      <c r="I95" s="181">
        <f>SUM(I94:I94)</f>
        <v>0</v>
      </c>
    </row>
    <row r="96" spans="1:12">
      <c r="A96" s="644" t="s">
        <v>378</v>
      </c>
      <c r="B96" s="645"/>
      <c r="C96" s="645"/>
      <c r="D96" s="645"/>
      <c r="E96" s="645"/>
      <c r="F96" s="645"/>
      <c r="G96" s="645"/>
      <c r="H96" s="645"/>
      <c r="I96" s="646"/>
    </row>
    <row r="97" spans="1:9">
      <c r="A97" s="152">
        <v>4</v>
      </c>
      <c r="B97" s="589" t="s">
        <v>379</v>
      </c>
      <c r="C97" s="590"/>
      <c r="D97" s="590"/>
      <c r="E97" s="590"/>
      <c r="F97" s="590"/>
      <c r="G97" s="590"/>
      <c r="H97" s="591"/>
      <c r="I97" s="154" t="s">
        <v>300</v>
      </c>
    </row>
    <row r="98" spans="1:9">
      <c r="A98" s="13" t="s">
        <v>366</v>
      </c>
      <c r="B98" s="584" t="s">
        <v>367</v>
      </c>
      <c r="C98" s="584"/>
      <c r="D98" s="584"/>
      <c r="E98" s="584"/>
      <c r="F98" s="584"/>
      <c r="G98" s="584"/>
      <c r="H98" s="182"/>
      <c r="I98" s="148">
        <f>I92</f>
        <v>268.95643499999994</v>
      </c>
    </row>
    <row r="99" spans="1:9">
      <c r="A99" s="13" t="s">
        <v>375</v>
      </c>
      <c r="B99" s="584" t="s">
        <v>376</v>
      </c>
      <c r="C99" s="584"/>
      <c r="D99" s="584"/>
      <c r="E99" s="584"/>
      <c r="F99" s="584"/>
      <c r="G99" s="584"/>
      <c r="H99" s="182"/>
      <c r="I99" s="148">
        <f>I95</f>
        <v>0</v>
      </c>
    </row>
    <row r="100" spans="1:9">
      <c r="A100" s="623" t="s">
        <v>110</v>
      </c>
      <c r="B100" s="624"/>
      <c r="C100" s="624"/>
      <c r="D100" s="624"/>
      <c r="E100" s="624"/>
      <c r="F100" s="624"/>
      <c r="G100" s="624"/>
      <c r="H100" s="625"/>
      <c r="I100" s="157">
        <f>SUM(I98:I99)</f>
        <v>268.95643499999994</v>
      </c>
    </row>
    <row r="101" spans="1:9">
      <c r="A101" s="603"/>
      <c r="B101" s="604"/>
      <c r="C101" s="604"/>
      <c r="D101" s="604"/>
      <c r="E101" s="604"/>
      <c r="F101" s="604"/>
      <c r="G101" s="604"/>
      <c r="H101" s="604"/>
      <c r="I101" s="605"/>
    </row>
    <row r="102" spans="1:9">
      <c r="A102" s="606" t="s">
        <v>380</v>
      </c>
      <c r="B102" s="607"/>
      <c r="C102" s="607"/>
      <c r="D102" s="607"/>
      <c r="E102" s="607"/>
      <c r="F102" s="607"/>
      <c r="G102" s="607"/>
      <c r="H102" s="607"/>
      <c r="I102" s="608"/>
    </row>
    <row r="103" spans="1:9">
      <c r="A103" s="152">
        <v>5</v>
      </c>
      <c r="B103" s="589" t="s">
        <v>381</v>
      </c>
      <c r="C103" s="590"/>
      <c r="D103" s="590"/>
      <c r="E103" s="590"/>
      <c r="F103" s="590"/>
      <c r="G103" s="590"/>
      <c r="H103" s="591"/>
      <c r="I103" s="154" t="s">
        <v>300</v>
      </c>
    </row>
    <row r="104" spans="1:9">
      <c r="A104" s="13" t="s">
        <v>277</v>
      </c>
      <c r="B104" s="673" t="s">
        <v>382</v>
      </c>
      <c r="C104" s="688"/>
      <c r="D104" s="688"/>
      <c r="E104" s="688"/>
      <c r="F104" s="688"/>
      <c r="G104" s="688"/>
      <c r="H104" s="689"/>
      <c r="I104" s="199">
        <f>'BASE-APR VR'!D46</f>
        <v>40.9375</v>
      </c>
    </row>
    <row r="105" spans="1:9">
      <c r="A105" s="13" t="s">
        <v>280</v>
      </c>
      <c r="B105" s="673" t="s">
        <v>383</v>
      </c>
      <c r="C105" s="688"/>
      <c r="D105" s="688"/>
      <c r="E105" s="688"/>
      <c r="F105" s="688"/>
      <c r="G105" s="688"/>
      <c r="H105" s="689"/>
      <c r="I105" s="237">
        <f>'BASE-APR VR'!F34</f>
        <v>746.77974999999992</v>
      </c>
    </row>
    <row r="106" spans="1:9">
      <c r="A106" s="13" t="s">
        <v>282</v>
      </c>
      <c r="B106" s="690" t="s">
        <v>384</v>
      </c>
      <c r="C106" s="674"/>
      <c r="D106" s="674"/>
      <c r="E106" s="674"/>
      <c r="F106" s="674"/>
      <c r="G106" s="674"/>
      <c r="H106" s="675"/>
      <c r="I106" s="237">
        <f>'BASE-APR VR'!F40</f>
        <v>8.479866666666668</v>
      </c>
    </row>
    <row r="107" spans="1:9">
      <c r="A107" s="623" t="s">
        <v>110</v>
      </c>
      <c r="B107" s="624"/>
      <c r="C107" s="624"/>
      <c r="D107" s="624"/>
      <c r="E107" s="624"/>
      <c r="F107" s="624"/>
      <c r="G107" s="624"/>
      <c r="H107" s="625"/>
      <c r="I107" s="183">
        <f>ROUND(SUM(I104:I106),2)</f>
        <v>796.2</v>
      </c>
    </row>
    <row r="108" spans="1:9">
      <c r="A108" s="727" t="s">
        <v>385</v>
      </c>
      <c r="B108" s="728"/>
      <c r="C108" s="728"/>
      <c r="D108" s="728"/>
      <c r="E108" s="728"/>
      <c r="F108" s="728"/>
      <c r="G108" s="729"/>
      <c r="H108" s="172" t="s">
        <v>320</v>
      </c>
      <c r="I108" s="184">
        <f>I30</f>
        <v>1500</v>
      </c>
    </row>
    <row r="109" spans="1:9">
      <c r="A109" s="730"/>
      <c r="B109" s="731"/>
      <c r="C109" s="731"/>
      <c r="D109" s="731"/>
      <c r="E109" s="731"/>
      <c r="F109" s="731"/>
      <c r="G109" s="732"/>
      <c r="H109" s="172" t="s">
        <v>386</v>
      </c>
      <c r="I109" s="184">
        <f>I69</f>
        <v>1304.4000000000001</v>
      </c>
    </row>
    <row r="110" spans="1:9">
      <c r="A110" s="730"/>
      <c r="B110" s="731"/>
      <c r="C110" s="731"/>
      <c r="D110" s="731"/>
      <c r="E110" s="731"/>
      <c r="F110" s="731"/>
      <c r="G110" s="732"/>
      <c r="H110" s="172" t="s">
        <v>363</v>
      </c>
      <c r="I110" s="184">
        <f>I78</f>
        <v>107.25</v>
      </c>
    </row>
    <row r="111" spans="1:9">
      <c r="A111" s="730"/>
      <c r="B111" s="731"/>
      <c r="C111" s="731"/>
      <c r="D111" s="731"/>
      <c r="E111" s="731"/>
      <c r="F111" s="731"/>
      <c r="G111" s="732"/>
      <c r="H111" s="172" t="s">
        <v>387</v>
      </c>
      <c r="I111" s="233">
        <f>I100</f>
        <v>268.95643499999994</v>
      </c>
    </row>
    <row r="112" spans="1:9">
      <c r="A112" s="730"/>
      <c r="B112" s="731"/>
      <c r="C112" s="731"/>
      <c r="D112" s="731"/>
      <c r="E112" s="731"/>
      <c r="F112" s="731"/>
      <c r="G112" s="732"/>
      <c r="H112" s="232" t="s">
        <v>388</v>
      </c>
      <c r="I112" s="231">
        <f>I107</f>
        <v>796.2</v>
      </c>
    </row>
    <row r="113" spans="1:12">
      <c r="A113" s="733"/>
      <c r="B113" s="734"/>
      <c r="C113" s="734"/>
      <c r="D113" s="734"/>
      <c r="E113" s="734"/>
      <c r="F113" s="734"/>
      <c r="G113" s="735"/>
      <c r="H113" s="232" t="s">
        <v>110</v>
      </c>
      <c r="I113" s="231">
        <f>SUM(I108:I112)</f>
        <v>3976.8064350000004</v>
      </c>
    </row>
    <row r="114" spans="1:12">
      <c r="A114" s="736" t="s">
        <v>389</v>
      </c>
      <c r="B114" s="736"/>
      <c r="C114" s="736"/>
      <c r="D114" s="736"/>
      <c r="E114" s="736"/>
      <c r="F114" s="736"/>
      <c r="G114" s="736"/>
      <c r="H114" s="736"/>
      <c r="I114" s="737"/>
    </row>
    <row r="115" spans="1:12">
      <c r="A115" s="152">
        <v>6</v>
      </c>
      <c r="B115" s="680" t="s">
        <v>390</v>
      </c>
      <c r="C115" s="681"/>
      <c r="D115" s="681"/>
      <c r="E115" s="681"/>
      <c r="F115" s="681"/>
      <c r="G115" s="682"/>
      <c r="H115" s="153" t="s">
        <v>299</v>
      </c>
      <c r="I115" s="154" t="s">
        <v>300</v>
      </c>
    </row>
    <row r="116" spans="1:12">
      <c r="A116" s="13" t="s">
        <v>277</v>
      </c>
      <c r="B116" s="691" t="s">
        <v>391</v>
      </c>
      <c r="C116" s="659"/>
      <c r="D116" s="659"/>
      <c r="E116" s="659"/>
      <c r="F116" s="659"/>
      <c r="G116" s="660"/>
      <c r="H116" s="149">
        <v>0.03</v>
      </c>
      <c r="I116" s="222">
        <f>I113*H116</f>
        <v>119.30419305000001</v>
      </c>
    </row>
    <row r="117" spans="1:12">
      <c r="A117" s="13" t="s">
        <v>280</v>
      </c>
      <c r="B117" s="691" t="s">
        <v>392</v>
      </c>
      <c r="C117" s="659"/>
      <c r="D117" s="659"/>
      <c r="E117" s="659"/>
      <c r="F117" s="659"/>
      <c r="G117" s="660"/>
      <c r="H117" s="149">
        <v>2.5790400000000002E-2</v>
      </c>
      <c r="I117" s="222">
        <f>(I113+I116)*H117</f>
        <v>105.64033154166074</v>
      </c>
    </row>
    <row r="118" spans="1:12">
      <c r="A118" s="13" t="s">
        <v>282</v>
      </c>
      <c r="B118" s="658" t="s">
        <v>393</v>
      </c>
      <c r="C118" s="659"/>
      <c r="D118" s="659"/>
      <c r="E118" s="659"/>
      <c r="F118" s="659"/>
      <c r="G118" s="660"/>
      <c r="H118" s="185"/>
      <c r="I118" s="234"/>
    </row>
    <row r="119" spans="1:12">
      <c r="A119" s="70"/>
      <c r="B119" s="658" t="s">
        <v>394</v>
      </c>
      <c r="C119" s="659"/>
      <c r="D119" s="659"/>
      <c r="E119" s="659"/>
      <c r="F119" s="659"/>
      <c r="G119" s="660"/>
      <c r="H119" s="149" t="s">
        <v>344</v>
      </c>
      <c r="I119" s="222" t="s">
        <v>344</v>
      </c>
    </row>
    <row r="120" spans="1:12">
      <c r="A120" s="70"/>
      <c r="B120" s="637" t="s">
        <v>395</v>
      </c>
      <c r="C120" s="578"/>
      <c r="D120" s="578"/>
      <c r="E120" s="578"/>
      <c r="F120" s="578"/>
      <c r="G120" s="579"/>
      <c r="H120" s="221">
        <v>1.6500000000000001E-2</v>
      </c>
      <c r="I120" s="222">
        <f>(I113+I116+I117)/(1-H125)*H120</f>
        <v>80.850018464445981</v>
      </c>
    </row>
    <row r="121" spans="1:12">
      <c r="A121" s="70"/>
      <c r="B121" s="698" t="s">
        <v>396</v>
      </c>
      <c r="C121" s="578"/>
      <c r="D121" s="578"/>
      <c r="E121" s="578"/>
      <c r="F121" s="578"/>
      <c r="G121" s="579"/>
      <c r="H121" s="221">
        <v>7.5999999999999998E-2</v>
      </c>
      <c r="I121" s="222">
        <f>(I113+I116+I117)/(1-H125)*H121</f>
        <v>372.40008504835725</v>
      </c>
    </row>
    <row r="122" spans="1:12">
      <c r="A122" s="70"/>
      <c r="B122" s="698" t="s">
        <v>397</v>
      </c>
      <c r="C122" s="699"/>
      <c r="D122" s="699"/>
      <c r="E122" s="699"/>
      <c r="F122" s="699"/>
      <c r="G122" s="700"/>
      <c r="H122" s="217"/>
      <c r="I122" s="222"/>
    </row>
    <row r="123" spans="1:12">
      <c r="A123" s="70"/>
      <c r="B123" s="698" t="s">
        <v>398</v>
      </c>
      <c r="C123" s="699"/>
      <c r="D123" s="699"/>
      <c r="E123" s="699"/>
      <c r="F123" s="699"/>
      <c r="G123" s="700"/>
      <c r="H123" s="217"/>
      <c r="I123" s="222"/>
    </row>
    <row r="124" spans="1:12">
      <c r="A124" s="70"/>
      <c r="B124" s="637" t="s">
        <v>399</v>
      </c>
      <c r="C124" s="578"/>
      <c r="D124" s="578"/>
      <c r="E124" s="578"/>
      <c r="F124" s="578"/>
      <c r="G124" s="579"/>
      <c r="H124" s="235">
        <f>'BASE-Alíquotas ISS'!B2</f>
        <v>0.05</v>
      </c>
      <c r="I124" s="222">
        <f>(I113+I116+I117)/(1-H125)*H124</f>
        <v>245.00005595286663</v>
      </c>
    </row>
    <row r="125" spans="1:12" ht="14.25" customHeight="1">
      <c r="A125" s="580"/>
      <c r="B125" s="707"/>
      <c r="C125" s="707"/>
      <c r="D125" s="707"/>
      <c r="E125" s="707"/>
      <c r="F125" s="707"/>
      <c r="G125" s="581"/>
      <c r="H125" s="224">
        <f>SUM(H120:H124)</f>
        <v>0.14250000000000002</v>
      </c>
      <c r="I125" s="222"/>
    </row>
    <row r="126" spans="1:12">
      <c r="A126" s="623" t="s">
        <v>110</v>
      </c>
      <c r="B126" s="624"/>
      <c r="C126" s="624"/>
      <c r="D126" s="624"/>
      <c r="E126" s="624"/>
      <c r="F126" s="624"/>
      <c r="G126" s="624"/>
      <c r="H126" s="236">
        <f>SUM(H116,H117,H125)</f>
        <v>0.19829040000000003</v>
      </c>
      <c r="I126" s="223">
        <f>SUM(I116:I124)</f>
        <v>923.19468405733062</v>
      </c>
      <c r="J126" s="454">
        <f>'PROPOSTA RESUMO'!H29</f>
        <v>588000</v>
      </c>
      <c r="K126" s="455">
        <v>588000</v>
      </c>
      <c r="L126" s="456">
        <f>SUM(K126-J126)</f>
        <v>0</v>
      </c>
    </row>
    <row r="127" spans="1:12" ht="40.5" customHeight="1">
      <c r="A127" s="698" t="s">
        <v>400</v>
      </c>
      <c r="B127" s="593"/>
      <c r="C127" s="593"/>
      <c r="D127" s="593"/>
      <c r="E127" s="593"/>
      <c r="F127" s="593"/>
      <c r="G127" s="593"/>
      <c r="H127" s="721"/>
      <c r="I127" s="594"/>
    </row>
    <row r="128" spans="1:12">
      <c r="A128" s="722"/>
      <c r="B128" s="723"/>
      <c r="C128" s="723"/>
      <c r="D128" s="723"/>
      <c r="E128" s="723"/>
      <c r="F128" s="723"/>
      <c r="G128" s="723"/>
      <c r="H128" s="723"/>
      <c r="I128" s="723"/>
    </row>
    <row r="129" spans="1:9">
      <c r="A129" s="724" t="s">
        <v>401</v>
      </c>
      <c r="B129" s="725"/>
      <c r="C129" s="725"/>
      <c r="D129" s="725"/>
      <c r="E129" s="725"/>
      <c r="F129" s="725"/>
      <c r="G129" s="725"/>
      <c r="H129" s="725"/>
      <c r="I129" s="726"/>
    </row>
    <row r="130" spans="1:9">
      <c r="A130" s="589" t="s">
        <v>402</v>
      </c>
      <c r="B130" s="590"/>
      <c r="C130" s="590"/>
      <c r="D130" s="590"/>
      <c r="E130" s="590"/>
      <c r="F130" s="590"/>
      <c r="G130" s="590"/>
      <c r="H130" s="591"/>
      <c r="I130" s="161" t="s">
        <v>300</v>
      </c>
    </row>
    <row r="131" spans="1:9">
      <c r="A131" s="186" t="s">
        <v>277</v>
      </c>
      <c r="B131" s="577" t="s">
        <v>403</v>
      </c>
      <c r="C131" s="578"/>
      <c r="D131" s="578"/>
      <c r="E131" s="578"/>
      <c r="F131" s="578"/>
      <c r="G131" s="578"/>
      <c r="H131" s="579"/>
      <c r="I131" s="166">
        <f>I30</f>
        <v>1500</v>
      </c>
    </row>
    <row r="132" spans="1:9">
      <c r="A132" s="186" t="s">
        <v>280</v>
      </c>
      <c r="B132" s="577" t="s">
        <v>352</v>
      </c>
      <c r="C132" s="578"/>
      <c r="D132" s="578"/>
      <c r="E132" s="578"/>
      <c r="F132" s="578"/>
      <c r="G132" s="578"/>
      <c r="H132" s="579"/>
      <c r="I132" s="166">
        <f>I69</f>
        <v>1304.4000000000001</v>
      </c>
    </row>
    <row r="133" spans="1:9">
      <c r="A133" s="186" t="s">
        <v>282</v>
      </c>
      <c r="B133" s="577" t="s">
        <v>404</v>
      </c>
      <c r="C133" s="578"/>
      <c r="D133" s="578"/>
      <c r="E133" s="578"/>
      <c r="F133" s="578"/>
      <c r="G133" s="578"/>
      <c r="H133" s="579"/>
      <c r="I133" s="166">
        <f>I78</f>
        <v>107.25</v>
      </c>
    </row>
    <row r="134" spans="1:9">
      <c r="A134" s="186" t="s">
        <v>284</v>
      </c>
      <c r="B134" s="577" t="s">
        <v>379</v>
      </c>
      <c r="C134" s="578"/>
      <c r="D134" s="578"/>
      <c r="E134" s="578"/>
      <c r="F134" s="578"/>
      <c r="G134" s="578"/>
      <c r="H134" s="579"/>
      <c r="I134" s="166">
        <f>I100</f>
        <v>268.95643499999994</v>
      </c>
    </row>
    <row r="135" spans="1:9">
      <c r="A135" s="186" t="s">
        <v>306</v>
      </c>
      <c r="B135" s="577" t="s">
        <v>405</v>
      </c>
      <c r="C135" s="578"/>
      <c r="D135" s="578"/>
      <c r="E135" s="578"/>
      <c r="F135" s="578"/>
      <c r="G135" s="578"/>
      <c r="H135" s="579"/>
      <c r="I135" s="166">
        <f>I107</f>
        <v>796.2</v>
      </c>
    </row>
    <row r="136" spans="1:9">
      <c r="A136" s="695" t="s">
        <v>406</v>
      </c>
      <c r="B136" s="696"/>
      <c r="C136" s="696"/>
      <c r="D136" s="696"/>
      <c r="E136" s="696"/>
      <c r="F136" s="696"/>
      <c r="G136" s="696"/>
      <c r="H136" s="697"/>
      <c r="I136" s="187">
        <f>SUM(I131:I135)</f>
        <v>3976.8064350000004</v>
      </c>
    </row>
    <row r="137" spans="1:9">
      <c r="A137" s="186" t="s">
        <v>308</v>
      </c>
      <c r="B137" s="577" t="s">
        <v>407</v>
      </c>
      <c r="C137" s="578"/>
      <c r="D137" s="578"/>
      <c r="E137" s="578"/>
      <c r="F137" s="578"/>
      <c r="G137" s="578"/>
      <c r="H137" s="579"/>
      <c r="I137" s="188">
        <f>I126</f>
        <v>923.19468405733062</v>
      </c>
    </row>
    <row r="138" spans="1:9">
      <c r="A138" s="695" t="s">
        <v>408</v>
      </c>
      <c r="B138" s="696"/>
      <c r="C138" s="696"/>
      <c r="D138" s="696"/>
      <c r="E138" s="696"/>
      <c r="F138" s="696"/>
      <c r="G138" s="696"/>
      <c r="H138" s="697"/>
      <c r="I138" s="189">
        <f>SUM(I136+I137)</f>
        <v>4900.0011190573314</v>
      </c>
    </row>
    <row r="139" spans="1:9">
      <c r="A139" s="190"/>
      <c r="B139" s="190"/>
      <c r="C139" s="190"/>
      <c r="D139" s="190"/>
      <c r="E139" s="190"/>
      <c r="F139" s="190"/>
      <c r="G139" s="190"/>
      <c r="H139" s="190"/>
      <c r="I139" s="191"/>
    </row>
    <row r="140" spans="1:9" ht="13.8" thickBot="1">
      <c r="A140" s="190"/>
      <c r="B140" s="190"/>
      <c r="C140" s="190"/>
      <c r="D140" s="190"/>
      <c r="E140" s="190"/>
      <c r="F140" s="190"/>
      <c r="G140" s="190"/>
      <c r="H140" s="190"/>
      <c r="I140" s="191"/>
    </row>
    <row r="141" spans="1:9" ht="13.8" thickBot="1">
      <c r="A141" s="708" t="s">
        <v>409</v>
      </c>
      <c r="B141" s="709"/>
      <c r="C141" s="709"/>
      <c r="D141" s="709"/>
      <c r="E141" s="709"/>
      <c r="F141" s="710"/>
      <c r="I141" s="150"/>
    </row>
    <row r="142" spans="1:9" ht="39.6">
      <c r="A142" s="192" t="s">
        <v>410</v>
      </c>
      <c r="B142" s="204" t="s">
        <v>411</v>
      </c>
      <c r="C142" s="193" t="s">
        <v>412</v>
      </c>
      <c r="D142" s="711" t="s">
        <v>413</v>
      </c>
      <c r="E142" s="712"/>
      <c r="F142" s="713"/>
    </row>
    <row r="143" spans="1:9" ht="39.6">
      <c r="A143" s="256" t="s">
        <v>414</v>
      </c>
      <c r="B143" s="195">
        <f>I138</f>
        <v>4900.0011190573314</v>
      </c>
      <c r="C143" s="194">
        <v>1</v>
      </c>
      <c r="D143" s="714">
        <f>ROUND(SUM(B143*C143),1)</f>
        <v>4900</v>
      </c>
      <c r="E143" s="715"/>
      <c r="F143" s="716"/>
    </row>
    <row r="144" spans="1:9">
      <c r="A144" s="190"/>
      <c r="B144" s="190"/>
      <c r="C144" s="190"/>
      <c r="D144" s="190"/>
      <c r="E144" s="190"/>
      <c r="F144" s="190"/>
    </row>
    <row r="145" spans="1:6" ht="13.8" thickBot="1">
      <c r="A145" s="190"/>
      <c r="B145" s="190"/>
      <c r="C145" s="190"/>
      <c r="D145" s="190"/>
      <c r="E145" s="190"/>
      <c r="F145" s="190"/>
    </row>
    <row r="146" spans="1:6" ht="13.8" thickBot="1">
      <c r="A146" s="717" t="s">
        <v>415</v>
      </c>
      <c r="B146" s="718"/>
      <c r="C146" s="718"/>
      <c r="D146" s="718"/>
      <c r="E146" s="718"/>
      <c r="F146" s="719"/>
    </row>
    <row r="147" spans="1:6">
      <c r="A147" s="192"/>
      <c r="B147" s="692" t="s">
        <v>416</v>
      </c>
      <c r="C147" s="693"/>
      <c r="D147" s="693"/>
      <c r="E147" s="694"/>
      <c r="F147" s="192" t="s">
        <v>417</v>
      </c>
    </row>
    <row r="148" spans="1:6" ht="12.75" customHeight="1">
      <c r="A148" s="194" t="s">
        <v>277</v>
      </c>
      <c r="B148" s="701" t="s">
        <v>418</v>
      </c>
      <c r="C148" s="702"/>
      <c r="D148" s="702"/>
      <c r="E148" s="703"/>
      <c r="F148" s="196">
        <f>D143</f>
        <v>4900</v>
      </c>
    </row>
    <row r="149" spans="1:6" ht="59.25" customHeight="1">
      <c r="A149" s="194" t="s">
        <v>280</v>
      </c>
      <c r="B149" s="704" t="s">
        <v>419</v>
      </c>
      <c r="C149" s="705"/>
      <c r="D149" s="705"/>
      <c r="E149" s="706"/>
      <c r="F149" s="196">
        <f>F148*12</f>
        <v>58800</v>
      </c>
    </row>
  </sheetData>
  <mergeCells count="143">
    <mergeCell ref="B148:E148"/>
    <mergeCell ref="A78:H78"/>
    <mergeCell ref="B149:E149"/>
    <mergeCell ref="A125:G125"/>
    <mergeCell ref="A141:F141"/>
    <mergeCell ref="D142:F142"/>
    <mergeCell ref="D143:F143"/>
    <mergeCell ref="A146:F146"/>
    <mergeCell ref="B75:G75"/>
    <mergeCell ref="A127:I127"/>
    <mergeCell ref="A128:I128"/>
    <mergeCell ref="A129:I129"/>
    <mergeCell ref="A130:H130"/>
    <mergeCell ref="B131:H131"/>
    <mergeCell ref="B132:H132"/>
    <mergeCell ref="B118:G118"/>
    <mergeCell ref="B119:G119"/>
    <mergeCell ref="B120:G120"/>
    <mergeCell ref="B121:G121"/>
    <mergeCell ref="B124:G124"/>
    <mergeCell ref="A126:G126"/>
    <mergeCell ref="A107:H107"/>
    <mergeCell ref="A108:G113"/>
    <mergeCell ref="A114:I114"/>
    <mergeCell ref="B115:G115"/>
    <mergeCell ref="B116:G116"/>
    <mergeCell ref="B117:G117"/>
    <mergeCell ref="B147:E147"/>
    <mergeCell ref="B133:H133"/>
    <mergeCell ref="B134:H134"/>
    <mergeCell ref="B135:H135"/>
    <mergeCell ref="A136:H136"/>
    <mergeCell ref="B137:H137"/>
    <mergeCell ref="A138:H138"/>
    <mergeCell ref="B122:G122"/>
    <mergeCell ref="B123:G123"/>
    <mergeCell ref="A101:I101"/>
    <mergeCell ref="A102:I102"/>
    <mergeCell ref="B103:H103"/>
    <mergeCell ref="B104:H104"/>
    <mergeCell ref="B105:H105"/>
    <mergeCell ref="B106:H106"/>
    <mergeCell ref="A95:H95"/>
    <mergeCell ref="A96:I96"/>
    <mergeCell ref="B97:H97"/>
    <mergeCell ref="B98:G98"/>
    <mergeCell ref="B99:G99"/>
    <mergeCell ref="A100:H100"/>
    <mergeCell ref="B89:G89"/>
    <mergeCell ref="B90:G90"/>
    <mergeCell ref="B91:G91"/>
    <mergeCell ref="A92:H92"/>
    <mergeCell ref="B93:H93"/>
    <mergeCell ref="B94:G94"/>
    <mergeCell ref="A79:G82"/>
    <mergeCell ref="A83:I83"/>
    <mergeCell ref="B85:G85"/>
    <mergeCell ref="B86:G86"/>
    <mergeCell ref="B87:G87"/>
    <mergeCell ref="B88:G88"/>
    <mergeCell ref="A84:I84"/>
    <mergeCell ref="B74:G74"/>
    <mergeCell ref="B76:G76"/>
    <mergeCell ref="B77:G77"/>
    <mergeCell ref="B68:H68"/>
    <mergeCell ref="A69:H69"/>
    <mergeCell ref="A70:I70"/>
    <mergeCell ref="A71:I71"/>
    <mergeCell ref="B72:G72"/>
    <mergeCell ref="B73:G73"/>
    <mergeCell ref="B62:H62"/>
    <mergeCell ref="A64:I64"/>
    <mergeCell ref="B65:H65"/>
    <mergeCell ref="B66:H66"/>
    <mergeCell ref="B67:H67"/>
    <mergeCell ref="B57:G57"/>
    <mergeCell ref="B58:G58"/>
    <mergeCell ref="B59:G59"/>
    <mergeCell ref="B60:G60"/>
    <mergeCell ref="B61:G61"/>
    <mergeCell ref="A63:I63"/>
    <mergeCell ref="B50:G50"/>
    <mergeCell ref="A51:G51"/>
    <mergeCell ref="A53:I53"/>
    <mergeCell ref="B54:H54"/>
    <mergeCell ref="B55:H55"/>
    <mergeCell ref="B56:G56"/>
    <mergeCell ref="B44:G44"/>
    <mergeCell ref="B46:G46"/>
    <mergeCell ref="B47:G47"/>
    <mergeCell ref="B48:G48"/>
    <mergeCell ref="B49:G49"/>
    <mergeCell ref="B45:C45"/>
    <mergeCell ref="A52:I52"/>
    <mergeCell ref="A36:G36"/>
    <mergeCell ref="A38:G40"/>
    <mergeCell ref="A41:I41"/>
    <mergeCell ref="B42:G42"/>
    <mergeCell ref="B43:G43"/>
    <mergeCell ref="B35:G35"/>
    <mergeCell ref="B29:G29"/>
    <mergeCell ref="A30:H30"/>
    <mergeCell ref="A31:I31"/>
    <mergeCell ref="A32:I32"/>
    <mergeCell ref="B33:G33"/>
    <mergeCell ref="B34:G34"/>
    <mergeCell ref="A37:I37"/>
    <mergeCell ref="B25:G25"/>
    <mergeCell ref="B27:G27"/>
    <mergeCell ref="B28:G28"/>
    <mergeCell ref="B18:G18"/>
    <mergeCell ref="H18:I18"/>
    <mergeCell ref="B19:G19"/>
    <mergeCell ref="H19:I19"/>
    <mergeCell ref="A20:I20"/>
    <mergeCell ref="A21:I21"/>
    <mergeCell ref="B26:G26"/>
    <mergeCell ref="B23:H23"/>
    <mergeCell ref="B24:G24"/>
    <mergeCell ref="B9:G9"/>
    <mergeCell ref="H9:I9"/>
    <mergeCell ref="A1:I1"/>
    <mergeCell ref="A2:I2"/>
    <mergeCell ref="A3:I3"/>
    <mergeCell ref="A5:I5"/>
    <mergeCell ref="A6:I6"/>
    <mergeCell ref="A14:I14"/>
    <mergeCell ref="B22:G22"/>
    <mergeCell ref="B7:G7"/>
    <mergeCell ref="H7:I7"/>
    <mergeCell ref="B8:G8"/>
    <mergeCell ref="H8:I8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8BCC7-7D91-4874-94C6-33A350D5FCD5}">
  <sheetPr>
    <tabColor rgb="FF0070C0"/>
  </sheetPr>
  <dimension ref="A1:P149"/>
  <sheetViews>
    <sheetView showGridLines="0" topLeftCell="A137" workbookViewId="0">
      <selection activeCell="H144" sqref="H144"/>
    </sheetView>
  </sheetViews>
  <sheetFormatPr defaultColWidth="9.109375" defaultRowHeight="13.2"/>
  <cols>
    <col min="1" max="2" width="13.6640625" style="23" customWidth="1"/>
    <col min="3" max="3" width="16.6640625" style="23" customWidth="1"/>
    <col min="4" max="4" width="14.6640625" style="23" customWidth="1"/>
    <col min="5" max="5" width="12.44140625" style="23" customWidth="1"/>
    <col min="6" max="6" width="13.109375" style="23" bestFit="1" customWidth="1"/>
    <col min="7" max="7" width="12.33203125" style="23" customWidth="1"/>
    <col min="8" max="8" width="20.44140625" style="23" customWidth="1"/>
    <col min="9" max="9" width="23.88671875" style="23" customWidth="1"/>
    <col min="10" max="10" width="9.109375" style="23"/>
    <col min="11" max="11" width="11" style="23" bestFit="1" customWidth="1"/>
    <col min="12" max="12" width="9.44140625" style="23" bestFit="1" customWidth="1"/>
    <col min="13" max="13" width="11" style="23" bestFit="1" customWidth="1"/>
    <col min="14" max="14" width="9.109375" style="23"/>
    <col min="15" max="15" width="11.109375" style="23" customWidth="1"/>
    <col min="16" max="18" width="9.109375" style="23"/>
    <col min="19" max="19" width="9.44140625" style="23" bestFit="1" customWidth="1"/>
    <col min="20" max="16384" width="9.109375" style="23"/>
  </cols>
  <sheetData>
    <row r="1" spans="1:9" ht="61.5" customHeight="1">
      <c r="A1" s="582" t="s">
        <v>274</v>
      </c>
      <c r="B1" s="583"/>
      <c r="C1" s="583"/>
      <c r="D1" s="583"/>
      <c r="E1" s="583"/>
      <c r="F1" s="583"/>
      <c r="G1" s="583"/>
      <c r="H1" s="583"/>
      <c r="I1" s="583"/>
    </row>
    <row r="2" spans="1:9" ht="12.75" customHeight="1">
      <c r="A2" s="584" t="str">
        <f>'BASE-APR VR'!A50</f>
        <v>Nº Processo nº 10180.100793/2023-43</v>
      </c>
      <c r="B2" s="584"/>
      <c r="C2" s="584"/>
      <c r="D2" s="584"/>
      <c r="E2" s="584"/>
      <c r="F2" s="584"/>
      <c r="G2" s="584"/>
      <c r="H2" s="584"/>
      <c r="I2" s="584"/>
    </row>
    <row r="3" spans="1:9" ht="12.75" customHeight="1">
      <c r="A3" s="584" t="s">
        <v>275</v>
      </c>
      <c r="B3" s="584"/>
      <c r="C3" s="584"/>
      <c r="D3" s="584"/>
      <c r="E3" s="584"/>
      <c r="F3" s="584"/>
      <c r="G3" s="584"/>
      <c r="H3" s="584"/>
      <c r="I3" s="584"/>
    </row>
    <row r="4" spans="1:9" ht="12.75" customHeight="1">
      <c r="A4" s="214"/>
      <c r="B4" s="214"/>
      <c r="C4" s="214"/>
      <c r="D4" s="214"/>
      <c r="E4" s="214"/>
      <c r="F4" s="214"/>
      <c r="G4" s="214"/>
      <c r="H4" s="214"/>
      <c r="I4" s="214"/>
    </row>
    <row r="5" spans="1:9" ht="12.75" customHeight="1">
      <c r="A5" s="585"/>
      <c r="B5" s="585"/>
      <c r="C5" s="585"/>
      <c r="D5" s="585"/>
      <c r="E5" s="585"/>
      <c r="F5" s="585"/>
      <c r="G5" s="585"/>
      <c r="H5" s="585"/>
      <c r="I5" s="585"/>
    </row>
    <row r="6" spans="1:9" ht="21" customHeight="1">
      <c r="A6" s="586" t="s">
        <v>276</v>
      </c>
      <c r="B6" s="587"/>
      <c r="C6" s="587"/>
      <c r="D6" s="587"/>
      <c r="E6" s="587"/>
      <c r="F6" s="587"/>
      <c r="G6" s="587"/>
      <c r="H6" s="587"/>
      <c r="I6" s="588"/>
    </row>
    <row r="7" spans="1:9">
      <c r="A7" s="145" t="s">
        <v>277</v>
      </c>
      <c r="B7" s="592" t="s">
        <v>278</v>
      </c>
      <c r="C7" s="593"/>
      <c r="D7" s="593"/>
      <c r="E7" s="593"/>
      <c r="F7" s="593"/>
      <c r="G7" s="594"/>
      <c r="H7" s="595" t="s">
        <v>279</v>
      </c>
      <c r="I7" s="596"/>
    </row>
    <row r="8" spans="1:9">
      <c r="A8" s="9" t="s">
        <v>280</v>
      </c>
      <c r="B8" s="577" t="s">
        <v>281</v>
      </c>
      <c r="C8" s="578"/>
      <c r="D8" s="578"/>
      <c r="E8" s="578"/>
      <c r="F8" s="578"/>
      <c r="G8" s="579"/>
      <c r="H8" s="597" t="s">
        <v>260</v>
      </c>
      <c r="I8" s="598"/>
    </row>
    <row r="9" spans="1:9" ht="37.5" customHeight="1">
      <c r="A9" s="9" t="s">
        <v>282</v>
      </c>
      <c r="B9" s="577" t="s">
        <v>283</v>
      </c>
      <c r="C9" s="578"/>
      <c r="D9" s="578"/>
      <c r="E9" s="578"/>
      <c r="F9" s="578"/>
      <c r="G9" s="579"/>
      <c r="H9" s="580" t="str">
        <f>'BASE-APR VR'!A53</f>
        <v xml:space="preserve">GO000832/2023 </v>
      </c>
      <c r="I9" s="581"/>
    </row>
    <row r="10" spans="1:9">
      <c r="A10" s="9" t="s">
        <v>284</v>
      </c>
      <c r="B10" s="577" t="s">
        <v>285</v>
      </c>
      <c r="C10" s="578"/>
      <c r="D10" s="578"/>
      <c r="E10" s="578"/>
      <c r="F10" s="578"/>
      <c r="G10" s="579"/>
      <c r="H10" s="597">
        <v>12</v>
      </c>
      <c r="I10" s="598"/>
    </row>
    <row r="11" spans="1:9">
      <c r="A11" s="577" t="s">
        <v>286</v>
      </c>
      <c r="B11" s="578"/>
      <c r="C11" s="578"/>
      <c r="D11" s="578"/>
      <c r="E11" s="578"/>
      <c r="F11" s="578"/>
      <c r="G11" s="578"/>
      <c r="H11" s="578"/>
      <c r="I11" s="579"/>
    </row>
    <row r="12" spans="1:9">
      <c r="A12" s="603"/>
      <c r="B12" s="604"/>
      <c r="C12" s="604"/>
      <c r="D12" s="604"/>
      <c r="E12" s="604"/>
      <c r="F12" s="604"/>
      <c r="G12" s="604"/>
      <c r="H12" s="604"/>
      <c r="I12" s="605"/>
    </row>
    <row r="13" spans="1:9">
      <c r="A13" s="606" t="s">
        <v>287</v>
      </c>
      <c r="B13" s="607"/>
      <c r="C13" s="607"/>
      <c r="D13" s="607"/>
      <c r="E13" s="607"/>
      <c r="F13" s="607"/>
      <c r="G13" s="607"/>
      <c r="H13" s="607"/>
      <c r="I13" s="608"/>
    </row>
    <row r="14" spans="1:9">
      <c r="A14" s="589" t="s">
        <v>288</v>
      </c>
      <c r="B14" s="590"/>
      <c r="C14" s="590"/>
      <c r="D14" s="590"/>
      <c r="E14" s="590"/>
      <c r="F14" s="590"/>
      <c r="G14" s="590"/>
      <c r="H14" s="590"/>
      <c r="I14" s="591"/>
    </row>
    <row r="15" spans="1:9" ht="42" customHeight="1">
      <c r="A15" s="9">
        <v>1</v>
      </c>
      <c r="B15" s="577" t="s">
        <v>289</v>
      </c>
      <c r="C15" s="578"/>
      <c r="D15" s="578"/>
      <c r="E15" s="578"/>
      <c r="F15" s="578"/>
      <c r="G15" s="579"/>
      <c r="H15" s="599" t="s">
        <v>290</v>
      </c>
      <c r="I15" s="600"/>
    </row>
    <row r="16" spans="1:9">
      <c r="A16" s="9">
        <v>2</v>
      </c>
      <c r="B16" s="577" t="s">
        <v>291</v>
      </c>
      <c r="C16" s="578"/>
      <c r="D16" s="578"/>
      <c r="E16" s="578"/>
      <c r="F16" s="578"/>
      <c r="G16" s="579"/>
      <c r="H16" s="601" t="s">
        <v>292</v>
      </c>
      <c r="I16" s="602"/>
    </row>
    <row r="17" spans="1:13">
      <c r="A17" s="9">
        <v>3</v>
      </c>
      <c r="B17" s="577" t="s">
        <v>293</v>
      </c>
      <c r="C17" s="578"/>
      <c r="D17" s="578"/>
      <c r="E17" s="578"/>
      <c r="F17" s="578"/>
      <c r="G17" s="579"/>
      <c r="H17" s="601">
        <f>'BASE-APR VR'!C15</f>
        <v>1500</v>
      </c>
      <c r="I17" s="602"/>
    </row>
    <row r="18" spans="1:13">
      <c r="A18" s="9">
        <v>4</v>
      </c>
      <c r="B18" s="577" t="s">
        <v>294</v>
      </c>
      <c r="C18" s="578"/>
      <c r="D18" s="578"/>
      <c r="E18" s="578"/>
      <c r="F18" s="578"/>
      <c r="G18" s="579"/>
      <c r="H18" s="601" t="s">
        <v>295</v>
      </c>
      <c r="I18" s="602"/>
    </row>
    <row r="19" spans="1:13">
      <c r="A19" s="14">
        <v>5</v>
      </c>
      <c r="B19" s="577" t="s">
        <v>296</v>
      </c>
      <c r="C19" s="578"/>
      <c r="D19" s="578"/>
      <c r="E19" s="578"/>
      <c r="F19" s="578"/>
      <c r="G19" s="579"/>
      <c r="H19" s="612" t="s">
        <v>247</v>
      </c>
      <c r="I19" s="613"/>
    </row>
    <row r="20" spans="1:13">
      <c r="A20" s="614"/>
      <c r="B20" s="615"/>
      <c r="C20" s="615"/>
      <c r="D20" s="615"/>
      <c r="E20" s="615"/>
      <c r="F20" s="615"/>
      <c r="G20" s="615"/>
      <c r="H20" s="615"/>
      <c r="I20" s="616"/>
    </row>
    <row r="21" spans="1:13">
      <c r="A21" s="606" t="s">
        <v>297</v>
      </c>
      <c r="B21" s="607"/>
      <c r="C21" s="607"/>
      <c r="D21" s="607"/>
      <c r="E21" s="607"/>
      <c r="F21" s="607"/>
      <c r="G21" s="607"/>
      <c r="H21" s="607"/>
      <c r="I21" s="608"/>
    </row>
    <row r="22" spans="1:13">
      <c r="A22" s="146">
        <v>1</v>
      </c>
      <c r="B22" s="589" t="s">
        <v>298</v>
      </c>
      <c r="C22" s="590"/>
      <c r="D22" s="590"/>
      <c r="E22" s="590"/>
      <c r="F22" s="590"/>
      <c r="G22" s="591"/>
      <c r="H22" s="146" t="s">
        <v>299</v>
      </c>
      <c r="I22" s="147" t="s">
        <v>300</v>
      </c>
    </row>
    <row r="23" spans="1:13">
      <c r="A23" s="9" t="s">
        <v>277</v>
      </c>
      <c r="B23" s="577" t="s">
        <v>301</v>
      </c>
      <c r="C23" s="578"/>
      <c r="D23" s="578"/>
      <c r="E23" s="578"/>
      <c r="F23" s="578"/>
      <c r="G23" s="578"/>
      <c r="H23" s="579"/>
      <c r="I23" s="148">
        <f>'BASE-APR VR'!C15</f>
        <v>1500</v>
      </c>
    </row>
    <row r="24" spans="1:13">
      <c r="A24" s="9" t="s">
        <v>280</v>
      </c>
      <c r="B24" s="620" t="s">
        <v>302</v>
      </c>
      <c r="C24" s="621"/>
      <c r="D24" s="621"/>
      <c r="E24" s="621"/>
      <c r="F24" s="621"/>
      <c r="G24" s="622"/>
      <c r="H24" s="217"/>
      <c r="I24" s="222"/>
      <c r="M24" s="198"/>
    </row>
    <row r="25" spans="1:13">
      <c r="A25" s="9" t="s">
        <v>282</v>
      </c>
      <c r="B25" s="609" t="s">
        <v>303</v>
      </c>
      <c r="C25" s="610"/>
      <c r="D25" s="610"/>
      <c r="E25" s="610"/>
      <c r="F25" s="610"/>
      <c r="G25" s="611"/>
      <c r="H25" s="68"/>
      <c r="I25" s="225"/>
    </row>
    <row r="26" spans="1:13">
      <c r="A26" s="9"/>
      <c r="B26" s="617" t="s">
        <v>304</v>
      </c>
      <c r="C26" s="618"/>
      <c r="D26" s="618"/>
      <c r="E26" s="618"/>
      <c r="F26" s="618"/>
      <c r="G26" s="619"/>
      <c r="H26" s="68"/>
      <c r="I26" s="225"/>
    </row>
    <row r="27" spans="1:13">
      <c r="A27" s="9" t="s">
        <v>284</v>
      </c>
      <c r="B27" s="584" t="s">
        <v>305</v>
      </c>
      <c r="C27" s="584"/>
      <c r="D27" s="584"/>
      <c r="E27" s="584"/>
      <c r="F27" s="584"/>
      <c r="G27" s="584"/>
      <c r="H27" s="9"/>
      <c r="I27" s="222"/>
    </row>
    <row r="28" spans="1:13">
      <c r="A28" s="9" t="s">
        <v>306</v>
      </c>
      <c r="B28" s="584" t="s">
        <v>307</v>
      </c>
      <c r="C28" s="584"/>
      <c r="D28" s="584"/>
      <c r="E28" s="584"/>
      <c r="F28" s="584"/>
      <c r="G28" s="584"/>
      <c r="H28" s="64"/>
      <c r="I28" s="222"/>
    </row>
    <row r="29" spans="1:13">
      <c r="A29" s="28" t="s">
        <v>308</v>
      </c>
      <c r="B29" s="584" t="s">
        <v>309</v>
      </c>
      <c r="C29" s="584"/>
      <c r="D29" s="584"/>
      <c r="E29" s="584"/>
      <c r="F29" s="584"/>
      <c r="G29" s="584"/>
      <c r="H29" s="64"/>
      <c r="I29" s="222"/>
    </row>
    <row r="30" spans="1:13">
      <c r="A30" s="638" t="s">
        <v>110</v>
      </c>
      <c r="B30" s="639"/>
      <c r="C30" s="639"/>
      <c r="D30" s="639"/>
      <c r="E30" s="639"/>
      <c r="F30" s="639"/>
      <c r="G30" s="639"/>
      <c r="H30" s="640"/>
      <c r="I30" s="151">
        <f>SUM(I23:I29)</f>
        <v>1500</v>
      </c>
    </row>
    <row r="31" spans="1:13" ht="32.25" customHeight="1">
      <c r="A31" s="641" t="s">
        <v>310</v>
      </c>
      <c r="B31" s="642"/>
      <c r="C31" s="642"/>
      <c r="D31" s="642"/>
      <c r="E31" s="642"/>
      <c r="F31" s="642"/>
      <c r="G31" s="642"/>
      <c r="H31" s="642"/>
      <c r="I31" s="643"/>
    </row>
    <row r="32" spans="1:13">
      <c r="A32" s="644" t="s">
        <v>311</v>
      </c>
      <c r="B32" s="645"/>
      <c r="C32" s="645"/>
      <c r="D32" s="645"/>
      <c r="E32" s="645"/>
      <c r="F32" s="645"/>
      <c r="G32" s="645"/>
      <c r="H32" s="645"/>
      <c r="I32" s="646"/>
    </row>
    <row r="33" spans="1:16">
      <c r="A33" s="152" t="s">
        <v>312</v>
      </c>
      <c r="B33" s="586" t="s">
        <v>313</v>
      </c>
      <c r="C33" s="587"/>
      <c r="D33" s="587"/>
      <c r="E33" s="587"/>
      <c r="F33" s="587"/>
      <c r="G33" s="587"/>
      <c r="H33" s="153" t="s">
        <v>314</v>
      </c>
      <c r="I33" s="154" t="s">
        <v>300</v>
      </c>
    </row>
    <row r="34" spans="1:16" ht="29.25" customHeight="1">
      <c r="A34" s="13" t="s">
        <v>277</v>
      </c>
      <c r="B34" s="637" t="s">
        <v>315</v>
      </c>
      <c r="C34" s="578"/>
      <c r="D34" s="578"/>
      <c r="E34" s="578"/>
      <c r="F34" s="578"/>
      <c r="G34" s="579"/>
      <c r="H34" s="155">
        <v>8.3333333333333329E-2</v>
      </c>
      <c r="I34" s="222">
        <f>TRUNC($I$30*H34,2)</f>
        <v>125</v>
      </c>
    </row>
    <row r="35" spans="1:16" ht="34.5" customHeight="1">
      <c r="A35" s="13" t="s">
        <v>316</v>
      </c>
      <c r="B35" s="637" t="s">
        <v>317</v>
      </c>
      <c r="C35" s="578"/>
      <c r="D35" s="578"/>
      <c r="E35" s="578"/>
      <c r="F35" s="578"/>
      <c r="G35" s="579"/>
      <c r="H35" s="218">
        <v>3.0249999999999999E-2</v>
      </c>
      <c r="I35" s="222">
        <f>TRUNC($I$30*H35,2)</f>
        <v>45.37</v>
      </c>
    </row>
    <row r="36" spans="1:16">
      <c r="A36" s="623" t="s">
        <v>110</v>
      </c>
      <c r="B36" s="624"/>
      <c r="C36" s="624"/>
      <c r="D36" s="624"/>
      <c r="E36" s="624"/>
      <c r="F36" s="624"/>
      <c r="G36" s="625"/>
      <c r="H36" s="156">
        <f>SUM(H34:H35)</f>
        <v>0.11358333333333333</v>
      </c>
      <c r="I36" s="157">
        <f>SUM(I34:I35)</f>
        <v>170.37</v>
      </c>
    </row>
    <row r="37" spans="1:16" ht="132.75" customHeight="1">
      <c r="A37" s="647" t="s">
        <v>318</v>
      </c>
      <c r="B37" s="648"/>
      <c r="C37" s="648"/>
      <c r="D37" s="648"/>
      <c r="E37" s="648"/>
      <c r="F37" s="648"/>
      <c r="G37" s="648"/>
      <c r="H37" s="648"/>
      <c r="I37" s="649"/>
    </row>
    <row r="38" spans="1:16">
      <c r="A38" s="626" t="s">
        <v>319</v>
      </c>
      <c r="B38" s="627"/>
      <c r="C38" s="627"/>
      <c r="D38" s="627"/>
      <c r="E38" s="627"/>
      <c r="F38" s="627"/>
      <c r="G38" s="628"/>
      <c r="H38" s="158" t="s">
        <v>320</v>
      </c>
      <c r="I38" s="159">
        <f>I30</f>
        <v>1500</v>
      </c>
    </row>
    <row r="39" spans="1:16">
      <c r="A39" s="629"/>
      <c r="B39" s="630"/>
      <c r="C39" s="630"/>
      <c r="D39" s="630"/>
      <c r="E39" s="630"/>
      <c r="F39" s="630"/>
      <c r="G39" s="631"/>
      <c r="H39" s="158" t="s">
        <v>321</v>
      </c>
      <c r="I39" s="159">
        <f>I36</f>
        <v>170.37</v>
      </c>
    </row>
    <row r="40" spans="1:16">
      <c r="A40" s="632"/>
      <c r="B40" s="633"/>
      <c r="C40" s="633"/>
      <c r="D40" s="633"/>
      <c r="E40" s="633"/>
      <c r="F40" s="633"/>
      <c r="G40" s="634"/>
      <c r="H40" s="158" t="s">
        <v>110</v>
      </c>
      <c r="I40" s="159">
        <f>SUM(I38:I39)</f>
        <v>1670.37</v>
      </c>
    </row>
    <row r="41" spans="1:16" ht="32.25" customHeight="1">
      <c r="A41" s="586" t="s">
        <v>322</v>
      </c>
      <c r="B41" s="635"/>
      <c r="C41" s="635"/>
      <c r="D41" s="635"/>
      <c r="E41" s="635"/>
      <c r="F41" s="635"/>
      <c r="G41" s="635"/>
      <c r="H41" s="635"/>
      <c r="I41" s="636"/>
    </row>
    <row r="42" spans="1:16" ht="12.75" customHeight="1">
      <c r="A42" s="160" t="s">
        <v>323</v>
      </c>
      <c r="B42" s="589" t="s">
        <v>324</v>
      </c>
      <c r="C42" s="590"/>
      <c r="D42" s="590"/>
      <c r="E42" s="590"/>
      <c r="F42" s="590"/>
      <c r="G42" s="591"/>
      <c r="H42" s="153" t="s">
        <v>314</v>
      </c>
      <c r="I42" s="161" t="s">
        <v>300</v>
      </c>
      <c r="M42" s="198"/>
    </row>
    <row r="43" spans="1:16">
      <c r="A43" s="162" t="s">
        <v>277</v>
      </c>
      <c r="B43" s="637" t="s">
        <v>325</v>
      </c>
      <c r="C43" s="578"/>
      <c r="D43" s="578"/>
      <c r="E43" s="578"/>
      <c r="F43" s="578"/>
      <c r="G43" s="579"/>
      <c r="H43" s="149">
        <v>0.2</v>
      </c>
      <c r="I43" s="222">
        <f>TRUNC(I40*H43,2)</f>
        <v>334.07</v>
      </c>
    </row>
    <row r="44" spans="1:16">
      <c r="A44" s="162" t="s">
        <v>280</v>
      </c>
      <c r="B44" s="637" t="s">
        <v>326</v>
      </c>
      <c r="C44" s="578"/>
      <c r="D44" s="664"/>
      <c r="E44" s="664"/>
      <c r="F44" s="664"/>
      <c r="G44" s="665"/>
      <c r="H44" s="149">
        <v>2.5000000000000001E-2</v>
      </c>
      <c r="I44" s="222">
        <f>TRUNC(I40*H44,2)</f>
        <v>41.75</v>
      </c>
    </row>
    <row r="45" spans="1:16" ht="35.25" customHeight="1">
      <c r="A45" s="162" t="s">
        <v>282</v>
      </c>
      <c r="B45" s="637" t="s">
        <v>327</v>
      </c>
      <c r="C45" s="668"/>
      <c r="D45" s="238" t="s">
        <v>328</v>
      </c>
      <c r="E45" s="220"/>
      <c r="F45" s="238" t="s">
        <v>329</v>
      </c>
      <c r="G45" s="220"/>
      <c r="H45" s="244">
        <f>'1-Servente Goiânia SRA'!H45</f>
        <v>3.6005999999999996E-2</v>
      </c>
      <c r="I45" s="222">
        <f>TRUNC(I40*H45,2)</f>
        <v>60.14</v>
      </c>
    </row>
    <row r="46" spans="1:16">
      <c r="A46" s="162" t="s">
        <v>284</v>
      </c>
      <c r="B46" s="637" t="s">
        <v>330</v>
      </c>
      <c r="C46" s="578"/>
      <c r="D46" s="666"/>
      <c r="E46" s="666"/>
      <c r="F46" s="666"/>
      <c r="G46" s="667"/>
      <c r="H46" s="149">
        <v>1.4999999999999999E-2</v>
      </c>
      <c r="I46" s="222">
        <f>TRUNC(I40*H46,2)</f>
        <v>25.05</v>
      </c>
    </row>
    <row r="47" spans="1:16">
      <c r="A47" s="162" t="s">
        <v>306</v>
      </c>
      <c r="B47" s="637" t="s">
        <v>331</v>
      </c>
      <c r="C47" s="578"/>
      <c r="D47" s="578"/>
      <c r="E47" s="578"/>
      <c r="F47" s="578"/>
      <c r="G47" s="579"/>
      <c r="H47" s="149">
        <v>0.01</v>
      </c>
      <c r="I47" s="222">
        <f>TRUNC(I40*H47,2)</f>
        <v>16.7</v>
      </c>
    </row>
    <row r="48" spans="1:16">
      <c r="A48" s="162" t="s">
        <v>308</v>
      </c>
      <c r="B48" s="637" t="s">
        <v>332</v>
      </c>
      <c r="C48" s="578"/>
      <c r="D48" s="578"/>
      <c r="E48" s="578"/>
      <c r="F48" s="578"/>
      <c r="G48" s="579"/>
      <c r="H48" s="149">
        <v>6.0000000000000001E-3</v>
      </c>
      <c r="I48" s="222">
        <f>TRUNC(I40*H48,2)</f>
        <v>10.02</v>
      </c>
      <c r="K48" s="198"/>
      <c r="L48" s="198"/>
      <c r="M48" s="198"/>
      <c r="O48" s="198"/>
      <c r="P48" s="201"/>
    </row>
    <row r="49" spans="1:11">
      <c r="A49" s="162" t="s">
        <v>333</v>
      </c>
      <c r="B49" s="637" t="s">
        <v>334</v>
      </c>
      <c r="C49" s="578"/>
      <c r="D49" s="578"/>
      <c r="E49" s="578"/>
      <c r="F49" s="578"/>
      <c r="G49" s="579"/>
      <c r="H49" s="149">
        <v>2E-3</v>
      </c>
      <c r="I49" s="222">
        <f>TRUNC(I40*H49,2)</f>
        <v>3.34</v>
      </c>
    </row>
    <row r="50" spans="1:11">
      <c r="A50" s="163" t="s">
        <v>335</v>
      </c>
      <c r="B50" s="577" t="s">
        <v>336</v>
      </c>
      <c r="C50" s="578"/>
      <c r="D50" s="578"/>
      <c r="E50" s="578"/>
      <c r="F50" s="578"/>
      <c r="G50" s="579"/>
      <c r="H50" s="219">
        <v>0.08</v>
      </c>
      <c r="I50" s="226">
        <f>TRUNC(I40*H50,2)</f>
        <v>133.62</v>
      </c>
    </row>
    <row r="51" spans="1:11">
      <c r="A51" s="650" t="s">
        <v>337</v>
      </c>
      <c r="B51" s="651"/>
      <c r="C51" s="651"/>
      <c r="D51" s="651"/>
      <c r="E51" s="651"/>
      <c r="F51" s="651"/>
      <c r="G51" s="652"/>
      <c r="H51" s="156">
        <f>SUM(H43:H50)</f>
        <v>0.37400600000000006</v>
      </c>
      <c r="I51" s="157">
        <f>SUM(I43:I50)</f>
        <v>624.68999999999994</v>
      </c>
    </row>
    <row r="52" spans="1:11" ht="76.5" customHeight="1">
      <c r="A52" s="647" t="s">
        <v>338</v>
      </c>
      <c r="B52" s="648"/>
      <c r="C52" s="648"/>
      <c r="D52" s="648"/>
      <c r="E52" s="648"/>
      <c r="F52" s="648"/>
      <c r="G52" s="648"/>
      <c r="H52" s="648"/>
      <c r="I52" s="649"/>
    </row>
    <row r="53" spans="1:11">
      <c r="A53" s="653" t="s">
        <v>339</v>
      </c>
      <c r="B53" s="654"/>
      <c r="C53" s="654"/>
      <c r="D53" s="654"/>
      <c r="E53" s="654"/>
      <c r="F53" s="654"/>
      <c r="G53" s="654"/>
      <c r="H53" s="654"/>
      <c r="I53" s="654"/>
    </row>
    <row r="54" spans="1:11">
      <c r="A54" s="164" t="s">
        <v>340</v>
      </c>
      <c r="B54" s="655" t="s">
        <v>341</v>
      </c>
      <c r="C54" s="656"/>
      <c r="D54" s="656"/>
      <c r="E54" s="656"/>
      <c r="F54" s="656"/>
      <c r="G54" s="656"/>
      <c r="H54" s="657"/>
      <c r="I54" s="165" t="s">
        <v>300</v>
      </c>
    </row>
    <row r="55" spans="1:11" ht="12.75" customHeight="1">
      <c r="A55" s="13" t="s">
        <v>277</v>
      </c>
      <c r="B55" s="658" t="s">
        <v>342</v>
      </c>
      <c r="C55" s="659"/>
      <c r="D55" s="659"/>
      <c r="E55" s="659"/>
      <c r="F55" s="659"/>
      <c r="G55" s="659"/>
      <c r="H55" s="660"/>
      <c r="I55" s="166">
        <f>TRUNC(('BASE-Tarifas de Passagens'!F5*2*22)-(I23*H58),2)</f>
        <v>99.2</v>
      </c>
      <c r="J55" s="200"/>
    </row>
    <row r="56" spans="1:11" ht="12.75" customHeight="1">
      <c r="A56" s="13"/>
      <c r="B56" s="661" t="s">
        <v>343</v>
      </c>
      <c r="C56" s="662"/>
      <c r="D56" s="662"/>
      <c r="E56" s="662"/>
      <c r="F56" s="662"/>
      <c r="G56" s="663"/>
      <c r="H56" s="445">
        <f>'BASE-Tarifas de Passagens'!F5</f>
        <v>4.3</v>
      </c>
      <c r="I56" s="148" t="s">
        <v>344</v>
      </c>
    </row>
    <row r="57" spans="1:11" ht="12.75" customHeight="1">
      <c r="A57" s="16"/>
      <c r="B57" s="661" t="s">
        <v>345</v>
      </c>
      <c r="C57" s="662"/>
      <c r="D57" s="662"/>
      <c r="E57" s="662"/>
      <c r="F57" s="662"/>
      <c r="G57" s="663"/>
      <c r="H57" s="227">
        <v>44</v>
      </c>
      <c r="I57" s="167" t="s">
        <v>344</v>
      </c>
    </row>
    <row r="58" spans="1:11" ht="12.75" customHeight="1">
      <c r="A58" s="13"/>
      <c r="B58" s="661" t="s">
        <v>346</v>
      </c>
      <c r="C58" s="662"/>
      <c r="D58" s="662"/>
      <c r="E58" s="662"/>
      <c r="F58" s="662"/>
      <c r="G58" s="663"/>
      <c r="H58" s="228">
        <v>0.06</v>
      </c>
      <c r="I58" s="148"/>
    </row>
    <row r="59" spans="1:11" ht="30.75" customHeight="1">
      <c r="A59" s="13" t="s">
        <v>280</v>
      </c>
      <c r="B59" s="672" t="s">
        <v>347</v>
      </c>
      <c r="C59" s="584"/>
      <c r="D59" s="584"/>
      <c r="E59" s="584"/>
      <c r="F59" s="584"/>
      <c r="G59" s="584"/>
      <c r="H59" s="9"/>
      <c r="I59" s="148">
        <f>'BASE-APR VR'!G24</f>
        <v>391.6</v>
      </c>
      <c r="J59" s="200"/>
      <c r="K59" s="202"/>
    </row>
    <row r="60" spans="1:11" ht="12.75" customHeight="1">
      <c r="A60" s="13" t="s">
        <v>282</v>
      </c>
      <c r="B60" s="672" t="s">
        <v>348</v>
      </c>
      <c r="C60" s="584"/>
      <c r="D60" s="584"/>
      <c r="E60" s="584"/>
      <c r="F60" s="584"/>
      <c r="G60" s="584"/>
      <c r="H60" s="64"/>
      <c r="I60" s="148">
        <v>16</v>
      </c>
      <c r="J60" s="202"/>
    </row>
    <row r="61" spans="1:11" ht="12.75" customHeight="1">
      <c r="A61" s="13" t="s">
        <v>306</v>
      </c>
      <c r="B61" s="672" t="s">
        <v>349</v>
      </c>
      <c r="C61" s="584"/>
      <c r="D61" s="584"/>
      <c r="E61" s="584"/>
      <c r="F61" s="584"/>
      <c r="G61" s="584"/>
      <c r="H61" s="64"/>
      <c r="I61" s="166">
        <v>2.54</v>
      </c>
    </row>
    <row r="62" spans="1:11">
      <c r="A62" s="168"/>
      <c r="B62" s="623" t="s">
        <v>337</v>
      </c>
      <c r="C62" s="624"/>
      <c r="D62" s="624"/>
      <c r="E62" s="624"/>
      <c r="F62" s="624"/>
      <c r="G62" s="624"/>
      <c r="H62" s="625"/>
      <c r="I62" s="157">
        <f>SUM(I55:I61)</f>
        <v>509.34000000000003</v>
      </c>
    </row>
    <row r="63" spans="1:11" ht="54.75" customHeight="1">
      <c r="A63" s="673" t="s">
        <v>350</v>
      </c>
      <c r="B63" s="674"/>
      <c r="C63" s="674"/>
      <c r="D63" s="674"/>
      <c r="E63" s="674"/>
      <c r="F63" s="674"/>
      <c r="G63" s="674"/>
      <c r="H63" s="674"/>
      <c r="I63" s="675"/>
    </row>
    <row r="64" spans="1:11">
      <c r="A64" s="644" t="s">
        <v>351</v>
      </c>
      <c r="B64" s="645"/>
      <c r="C64" s="645"/>
      <c r="D64" s="645"/>
      <c r="E64" s="645"/>
      <c r="F64" s="645"/>
      <c r="G64" s="645"/>
      <c r="H64" s="645"/>
      <c r="I64" s="646"/>
    </row>
    <row r="65" spans="1:9">
      <c r="A65" s="169">
        <v>2</v>
      </c>
      <c r="B65" s="669" t="s">
        <v>352</v>
      </c>
      <c r="C65" s="670"/>
      <c r="D65" s="670"/>
      <c r="E65" s="670"/>
      <c r="F65" s="670"/>
      <c r="G65" s="670"/>
      <c r="H65" s="671"/>
      <c r="I65" s="170" t="s">
        <v>300</v>
      </c>
    </row>
    <row r="66" spans="1:9">
      <c r="A66" s="13" t="s">
        <v>312</v>
      </c>
      <c r="B66" s="577" t="s">
        <v>313</v>
      </c>
      <c r="C66" s="578"/>
      <c r="D66" s="578"/>
      <c r="E66" s="578"/>
      <c r="F66" s="578"/>
      <c r="G66" s="578"/>
      <c r="H66" s="579"/>
      <c r="I66" s="148">
        <f>I36</f>
        <v>170.37</v>
      </c>
    </row>
    <row r="67" spans="1:9">
      <c r="A67" s="13" t="s">
        <v>323</v>
      </c>
      <c r="B67" s="577" t="s">
        <v>324</v>
      </c>
      <c r="C67" s="578"/>
      <c r="D67" s="578"/>
      <c r="E67" s="578"/>
      <c r="F67" s="578"/>
      <c r="G67" s="578"/>
      <c r="H67" s="579"/>
      <c r="I67" s="148">
        <f>I51</f>
        <v>624.68999999999994</v>
      </c>
    </row>
    <row r="68" spans="1:9">
      <c r="A68" s="13" t="s">
        <v>340</v>
      </c>
      <c r="B68" s="577" t="s">
        <v>341</v>
      </c>
      <c r="C68" s="578"/>
      <c r="D68" s="578"/>
      <c r="E68" s="578"/>
      <c r="F68" s="578"/>
      <c r="G68" s="578"/>
      <c r="H68" s="579"/>
      <c r="I68" s="148">
        <f>I62</f>
        <v>509.34000000000003</v>
      </c>
    </row>
    <row r="69" spans="1:9">
      <c r="A69" s="623" t="s">
        <v>110</v>
      </c>
      <c r="B69" s="624"/>
      <c r="C69" s="624"/>
      <c r="D69" s="624"/>
      <c r="E69" s="624"/>
      <c r="F69" s="624"/>
      <c r="G69" s="624"/>
      <c r="H69" s="625"/>
      <c r="I69" s="157">
        <f>SUM(I66:I68)</f>
        <v>1304.4000000000001</v>
      </c>
    </row>
    <row r="70" spans="1:9">
      <c r="A70" s="603"/>
      <c r="B70" s="604"/>
      <c r="C70" s="604"/>
      <c r="D70" s="604"/>
      <c r="E70" s="604"/>
      <c r="F70" s="604"/>
      <c r="G70" s="604"/>
      <c r="H70" s="604"/>
      <c r="I70" s="605"/>
    </row>
    <row r="71" spans="1:9">
      <c r="A71" s="644" t="s">
        <v>353</v>
      </c>
      <c r="B71" s="645"/>
      <c r="C71" s="645"/>
      <c r="D71" s="645"/>
      <c r="E71" s="645"/>
      <c r="F71" s="645"/>
      <c r="G71" s="645"/>
      <c r="H71" s="645"/>
      <c r="I71" s="646"/>
    </row>
    <row r="72" spans="1:9" ht="26.4">
      <c r="A72" s="146">
        <v>3</v>
      </c>
      <c r="B72" s="589" t="s">
        <v>354</v>
      </c>
      <c r="C72" s="590"/>
      <c r="D72" s="590"/>
      <c r="E72" s="590"/>
      <c r="F72" s="590"/>
      <c r="G72" s="591"/>
      <c r="H72" s="146" t="s">
        <v>355</v>
      </c>
      <c r="I72" s="147" t="s">
        <v>300</v>
      </c>
    </row>
    <row r="73" spans="1:9" ht="12.75" customHeight="1">
      <c r="A73" s="13" t="s">
        <v>277</v>
      </c>
      <c r="B73" s="672" t="s">
        <v>356</v>
      </c>
      <c r="C73" s="584"/>
      <c r="D73" s="584"/>
      <c r="E73" s="584"/>
      <c r="F73" s="584"/>
      <c r="G73" s="584"/>
      <c r="H73" s="171">
        <v>4.5999999999999999E-3</v>
      </c>
      <c r="I73" s="222">
        <f>($I$30*H73)</f>
        <v>6.8999999999999995</v>
      </c>
    </row>
    <row r="74" spans="1:9" ht="12.75" customHeight="1">
      <c r="A74" s="15" t="s">
        <v>280</v>
      </c>
      <c r="B74" s="676" t="s">
        <v>357</v>
      </c>
      <c r="C74" s="677"/>
      <c r="D74" s="677"/>
      <c r="E74" s="677"/>
      <c r="F74" s="677"/>
      <c r="G74" s="677"/>
      <c r="H74" s="149">
        <v>4.0000000000000002E-4</v>
      </c>
      <c r="I74" s="222">
        <f>($I$30*H74)</f>
        <v>0.6</v>
      </c>
    </row>
    <row r="75" spans="1:9" ht="31.5" customHeight="1">
      <c r="A75" s="13" t="s">
        <v>282</v>
      </c>
      <c r="B75" s="720" t="s">
        <v>358</v>
      </c>
      <c r="C75" s="584"/>
      <c r="D75" s="584"/>
      <c r="E75" s="584"/>
      <c r="F75" s="584"/>
      <c r="G75" s="584"/>
      <c r="H75" s="221">
        <v>1.9400000000000001E-2</v>
      </c>
      <c r="I75" s="222">
        <f>($I$30*H75)</f>
        <v>29.1</v>
      </c>
    </row>
    <row r="76" spans="1:9" ht="31.5" customHeight="1">
      <c r="A76" s="15" t="s">
        <v>284</v>
      </c>
      <c r="B76" s="672" t="s">
        <v>359</v>
      </c>
      <c r="C76" s="584"/>
      <c r="D76" s="584"/>
      <c r="E76" s="584"/>
      <c r="F76" s="584"/>
      <c r="G76" s="584"/>
      <c r="H76" s="171">
        <v>7.1000000000000004E-3</v>
      </c>
      <c r="I76" s="222">
        <f>($I$30*H76)</f>
        <v>10.65</v>
      </c>
    </row>
    <row r="77" spans="1:9" ht="54" customHeight="1">
      <c r="A77" s="13" t="s">
        <v>306</v>
      </c>
      <c r="B77" s="672" t="s">
        <v>360</v>
      </c>
      <c r="C77" s="584"/>
      <c r="D77" s="584"/>
      <c r="E77" s="584"/>
      <c r="F77" s="584"/>
      <c r="G77" s="584"/>
      <c r="H77" s="171">
        <v>0.04</v>
      </c>
      <c r="I77" s="222">
        <f>($I$30*H77)</f>
        <v>60</v>
      </c>
    </row>
    <row r="78" spans="1:9">
      <c r="A78" s="623" t="s">
        <v>110</v>
      </c>
      <c r="B78" s="624"/>
      <c r="C78" s="624"/>
      <c r="D78" s="624"/>
      <c r="E78" s="624"/>
      <c r="F78" s="624"/>
      <c r="G78" s="624"/>
      <c r="H78" s="625"/>
      <c r="I78" s="157">
        <f>SUM(I73:I77)</f>
        <v>107.25</v>
      </c>
    </row>
    <row r="79" spans="1:9">
      <c r="A79" s="683" t="s">
        <v>361</v>
      </c>
      <c r="B79" s="684"/>
      <c r="C79" s="684"/>
      <c r="D79" s="684"/>
      <c r="E79" s="684"/>
      <c r="F79" s="684"/>
      <c r="G79" s="684"/>
      <c r="H79" s="172" t="s">
        <v>320</v>
      </c>
      <c r="I79" s="173">
        <f>I30</f>
        <v>1500</v>
      </c>
    </row>
    <row r="80" spans="1:9" ht="69" customHeight="1">
      <c r="A80" s="684"/>
      <c r="B80" s="684"/>
      <c r="C80" s="684"/>
      <c r="D80" s="684"/>
      <c r="E80" s="684"/>
      <c r="F80" s="684"/>
      <c r="G80" s="684"/>
      <c r="H80" s="242" t="s">
        <v>362</v>
      </c>
      <c r="I80" s="173">
        <f>I36+I51+I60+I61</f>
        <v>813.59999999999991</v>
      </c>
    </row>
    <row r="81" spans="1:12">
      <c r="A81" s="684"/>
      <c r="B81" s="684"/>
      <c r="C81" s="684"/>
      <c r="D81" s="684"/>
      <c r="E81" s="684"/>
      <c r="F81" s="684"/>
      <c r="G81" s="684"/>
      <c r="H81" s="172" t="s">
        <v>363</v>
      </c>
      <c r="I81" s="173">
        <f>I78</f>
        <v>107.25</v>
      </c>
    </row>
    <row r="82" spans="1:12">
      <c r="A82" s="684"/>
      <c r="B82" s="684"/>
      <c r="C82" s="684"/>
      <c r="D82" s="684"/>
      <c r="E82" s="684"/>
      <c r="F82" s="684"/>
      <c r="G82" s="684"/>
      <c r="H82" s="174" t="s">
        <v>110</v>
      </c>
      <c r="I82" s="175">
        <f>SUM(I79:I81)</f>
        <v>2420.85</v>
      </c>
    </row>
    <row r="83" spans="1:12">
      <c r="A83" s="606" t="s">
        <v>364</v>
      </c>
      <c r="B83" s="607"/>
      <c r="C83" s="607"/>
      <c r="D83" s="607"/>
      <c r="E83" s="607"/>
      <c r="F83" s="607"/>
      <c r="G83" s="607"/>
      <c r="H83" s="607"/>
      <c r="I83" s="608"/>
    </row>
    <row r="84" spans="1:12" ht="60.75" customHeight="1">
      <c r="A84" s="685" t="s">
        <v>365</v>
      </c>
      <c r="B84" s="686"/>
      <c r="C84" s="686"/>
      <c r="D84" s="686"/>
      <c r="E84" s="686"/>
      <c r="F84" s="686"/>
      <c r="G84" s="686"/>
      <c r="H84" s="686"/>
      <c r="I84" s="687"/>
    </row>
    <row r="85" spans="1:12">
      <c r="A85" s="176" t="s">
        <v>366</v>
      </c>
      <c r="B85" s="654" t="s">
        <v>367</v>
      </c>
      <c r="C85" s="654"/>
      <c r="D85" s="654"/>
      <c r="E85" s="654"/>
      <c r="F85" s="654"/>
      <c r="G85" s="654"/>
      <c r="H85" s="146" t="s">
        <v>314</v>
      </c>
      <c r="I85" s="177" t="s">
        <v>300</v>
      </c>
    </row>
    <row r="86" spans="1:12" ht="25.5" customHeight="1">
      <c r="A86" s="13" t="s">
        <v>277</v>
      </c>
      <c r="B86" s="678" t="s">
        <v>368</v>
      </c>
      <c r="C86" s="679"/>
      <c r="D86" s="679"/>
      <c r="E86" s="679"/>
      <c r="F86" s="679"/>
      <c r="G86" s="679"/>
      <c r="H86" s="229">
        <v>9.0749999999999997E-2</v>
      </c>
      <c r="I86" s="148">
        <f>H86*$I$82</f>
        <v>219.69213749999997</v>
      </c>
      <c r="K86" s="203"/>
      <c r="L86" s="198"/>
    </row>
    <row r="87" spans="1:12" ht="39.75" customHeight="1">
      <c r="A87" s="13" t="s">
        <v>280</v>
      </c>
      <c r="B87" s="678" t="s">
        <v>369</v>
      </c>
      <c r="C87" s="679"/>
      <c r="D87" s="679"/>
      <c r="E87" s="679"/>
      <c r="F87" s="679"/>
      <c r="G87" s="679"/>
      <c r="H87" s="149">
        <v>1.6299999999999999E-2</v>
      </c>
      <c r="I87" s="148">
        <f>H87*$I$82</f>
        <v>39.459854999999997</v>
      </c>
    </row>
    <row r="88" spans="1:12" ht="35.25" customHeight="1">
      <c r="A88" s="13" t="s">
        <v>282</v>
      </c>
      <c r="B88" s="678" t="s">
        <v>370</v>
      </c>
      <c r="C88" s="679"/>
      <c r="D88" s="679"/>
      <c r="E88" s="679"/>
      <c r="F88" s="679"/>
      <c r="G88" s="679"/>
      <c r="H88" s="171">
        <v>2.0000000000000001E-4</v>
      </c>
      <c r="I88" s="148">
        <f>H88*$I$82</f>
        <v>0.48416999999999999</v>
      </c>
    </row>
    <row r="89" spans="1:12" ht="50.25" customHeight="1">
      <c r="A89" s="13" t="s">
        <v>284</v>
      </c>
      <c r="B89" s="678" t="s">
        <v>371</v>
      </c>
      <c r="C89" s="679"/>
      <c r="D89" s="679"/>
      <c r="E89" s="679"/>
      <c r="F89" s="679"/>
      <c r="G89" s="679"/>
      <c r="H89" s="149">
        <v>3.3E-3</v>
      </c>
      <c r="I89" s="148">
        <f>H89*$I$82</f>
        <v>7.9888049999999993</v>
      </c>
      <c r="K89" s="230"/>
    </row>
    <row r="90" spans="1:12" ht="45" customHeight="1">
      <c r="A90" s="13" t="s">
        <v>306</v>
      </c>
      <c r="B90" s="678" t="s">
        <v>372</v>
      </c>
      <c r="C90" s="679"/>
      <c r="D90" s="679"/>
      <c r="E90" s="679"/>
      <c r="F90" s="679"/>
      <c r="G90" s="679"/>
      <c r="H90" s="178">
        <v>5.5000000000000003E-4</v>
      </c>
      <c r="I90" s="148">
        <f>H90*$I$82</f>
        <v>1.3314675</v>
      </c>
    </row>
    <row r="91" spans="1:12">
      <c r="A91" s="14" t="s">
        <v>308</v>
      </c>
      <c r="B91" s="677" t="s">
        <v>373</v>
      </c>
      <c r="C91" s="677"/>
      <c r="D91" s="677"/>
      <c r="E91" s="677"/>
      <c r="F91" s="677"/>
      <c r="G91" s="677"/>
      <c r="H91" s="149" t="s">
        <v>374</v>
      </c>
      <c r="I91" s="148"/>
    </row>
    <row r="92" spans="1:12">
      <c r="A92" s="623" t="s">
        <v>337</v>
      </c>
      <c r="B92" s="624"/>
      <c r="C92" s="624"/>
      <c r="D92" s="624"/>
      <c r="E92" s="624"/>
      <c r="F92" s="624"/>
      <c r="G92" s="624"/>
      <c r="H92" s="625"/>
      <c r="I92" s="205">
        <f>SUM(I86:I91)</f>
        <v>268.95643499999994</v>
      </c>
    </row>
    <row r="93" spans="1:12">
      <c r="A93" s="176" t="s">
        <v>375</v>
      </c>
      <c r="B93" s="680" t="s">
        <v>376</v>
      </c>
      <c r="C93" s="681"/>
      <c r="D93" s="681"/>
      <c r="E93" s="681"/>
      <c r="F93" s="681"/>
      <c r="G93" s="681"/>
      <c r="H93" s="682"/>
      <c r="I93" s="177" t="s">
        <v>300</v>
      </c>
    </row>
    <row r="94" spans="1:12">
      <c r="A94" s="13" t="s">
        <v>277</v>
      </c>
      <c r="B94" s="584" t="s">
        <v>377</v>
      </c>
      <c r="C94" s="584"/>
      <c r="D94" s="584"/>
      <c r="E94" s="584"/>
      <c r="F94" s="584"/>
      <c r="G94" s="584"/>
      <c r="H94" s="179"/>
      <c r="I94" s="180">
        <v>0</v>
      </c>
    </row>
    <row r="95" spans="1:12">
      <c r="A95" s="623" t="s">
        <v>337</v>
      </c>
      <c r="B95" s="624"/>
      <c r="C95" s="624"/>
      <c r="D95" s="624"/>
      <c r="E95" s="624"/>
      <c r="F95" s="624"/>
      <c r="G95" s="624"/>
      <c r="H95" s="625"/>
      <c r="I95" s="181">
        <f>SUM(I94:I94)</f>
        <v>0</v>
      </c>
    </row>
    <row r="96" spans="1:12">
      <c r="A96" s="644" t="s">
        <v>378</v>
      </c>
      <c r="B96" s="645"/>
      <c r="C96" s="645"/>
      <c r="D96" s="645"/>
      <c r="E96" s="645"/>
      <c r="F96" s="645"/>
      <c r="G96" s="645"/>
      <c r="H96" s="645"/>
      <c r="I96" s="646"/>
    </row>
    <row r="97" spans="1:9">
      <c r="A97" s="152">
        <v>4</v>
      </c>
      <c r="B97" s="589" t="s">
        <v>379</v>
      </c>
      <c r="C97" s="590"/>
      <c r="D97" s="590"/>
      <c r="E97" s="590"/>
      <c r="F97" s="590"/>
      <c r="G97" s="590"/>
      <c r="H97" s="591"/>
      <c r="I97" s="154" t="s">
        <v>300</v>
      </c>
    </row>
    <row r="98" spans="1:9">
      <c r="A98" s="13" t="s">
        <v>366</v>
      </c>
      <c r="B98" s="584" t="s">
        <v>367</v>
      </c>
      <c r="C98" s="584"/>
      <c r="D98" s="584"/>
      <c r="E98" s="584"/>
      <c r="F98" s="584"/>
      <c r="G98" s="584"/>
      <c r="H98" s="182"/>
      <c r="I98" s="148">
        <f>I92</f>
        <v>268.95643499999994</v>
      </c>
    </row>
    <row r="99" spans="1:9">
      <c r="A99" s="13" t="s">
        <v>375</v>
      </c>
      <c r="B99" s="584" t="s">
        <v>376</v>
      </c>
      <c r="C99" s="584"/>
      <c r="D99" s="584"/>
      <c r="E99" s="584"/>
      <c r="F99" s="584"/>
      <c r="G99" s="584"/>
      <c r="H99" s="182"/>
      <c r="I99" s="148">
        <f>I95</f>
        <v>0</v>
      </c>
    </row>
    <row r="100" spans="1:9">
      <c r="A100" s="623" t="s">
        <v>110</v>
      </c>
      <c r="B100" s="624"/>
      <c r="C100" s="624"/>
      <c r="D100" s="624"/>
      <c r="E100" s="624"/>
      <c r="F100" s="624"/>
      <c r="G100" s="624"/>
      <c r="H100" s="625"/>
      <c r="I100" s="157">
        <f>SUM(I98:I99)</f>
        <v>268.95643499999994</v>
      </c>
    </row>
    <row r="101" spans="1:9">
      <c r="A101" s="603"/>
      <c r="B101" s="604"/>
      <c r="C101" s="604"/>
      <c r="D101" s="604"/>
      <c r="E101" s="604"/>
      <c r="F101" s="604"/>
      <c r="G101" s="604"/>
      <c r="H101" s="604"/>
      <c r="I101" s="605"/>
    </row>
    <row r="102" spans="1:9">
      <c r="A102" s="606" t="s">
        <v>380</v>
      </c>
      <c r="B102" s="607"/>
      <c r="C102" s="607"/>
      <c r="D102" s="607"/>
      <c r="E102" s="607"/>
      <c r="F102" s="607"/>
      <c r="G102" s="607"/>
      <c r="H102" s="607"/>
      <c r="I102" s="608"/>
    </row>
    <row r="103" spans="1:9">
      <c r="A103" s="152">
        <v>5</v>
      </c>
      <c r="B103" s="589" t="s">
        <v>381</v>
      </c>
      <c r="C103" s="590"/>
      <c r="D103" s="590"/>
      <c r="E103" s="590"/>
      <c r="F103" s="590"/>
      <c r="G103" s="590"/>
      <c r="H103" s="591"/>
      <c r="I103" s="154" t="s">
        <v>300</v>
      </c>
    </row>
    <row r="104" spans="1:9">
      <c r="A104" s="13" t="s">
        <v>277</v>
      </c>
      <c r="B104" s="673" t="s">
        <v>382</v>
      </c>
      <c r="C104" s="688"/>
      <c r="D104" s="688"/>
      <c r="E104" s="688"/>
      <c r="F104" s="688"/>
      <c r="G104" s="688"/>
      <c r="H104" s="689"/>
      <c r="I104" s="199">
        <f>'BASE-APR VR'!D46</f>
        <v>40.9375</v>
      </c>
    </row>
    <row r="105" spans="1:9">
      <c r="A105" s="13" t="s">
        <v>280</v>
      </c>
      <c r="B105" s="673" t="s">
        <v>383</v>
      </c>
      <c r="C105" s="688"/>
      <c r="D105" s="688"/>
      <c r="E105" s="688"/>
      <c r="F105" s="688"/>
      <c r="G105" s="688"/>
      <c r="H105" s="689"/>
      <c r="I105" s="237">
        <f>'BASE-APR VR'!F34</f>
        <v>746.77974999999992</v>
      </c>
    </row>
    <row r="106" spans="1:9">
      <c r="A106" s="13" t="s">
        <v>282</v>
      </c>
      <c r="B106" s="690" t="s">
        <v>384</v>
      </c>
      <c r="C106" s="674"/>
      <c r="D106" s="674"/>
      <c r="E106" s="674"/>
      <c r="F106" s="674"/>
      <c r="G106" s="674"/>
      <c r="H106" s="675"/>
      <c r="I106" s="237">
        <f>'BASE-APR VR'!F40</f>
        <v>8.479866666666668</v>
      </c>
    </row>
    <row r="107" spans="1:9">
      <c r="A107" s="623" t="s">
        <v>110</v>
      </c>
      <c r="B107" s="624"/>
      <c r="C107" s="624"/>
      <c r="D107" s="624"/>
      <c r="E107" s="624"/>
      <c r="F107" s="624"/>
      <c r="G107" s="624"/>
      <c r="H107" s="625"/>
      <c r="I107" s="183">
        <f>ROUND(SUM(I104:I106),2)</f>
        <v>796.2</v>
      </c>
    </row>
    <row r="108" spans="1:9">
      <c r="A108" s="727" t="s">
        <v>385</v>
      </c>
      <c r="B108" s="728"/>
      <c r="C108" s="728"/>
      <c r="D108" s="728"/>
      <c r="E108" s="728"/>
      <c r="F108" s="728"/>
      <c r="G108" s="729"/>
      <c r="H108" s="172" t="s">
        <v>320</v>
      </c>
      <c r="I108" s="184">
        <f>I30</f>
        <v>1500</v>
      </c>
    </row>
    <row r="109" spans="1:9">
      <c r="A109" s="730"/>
      <c r="B109" s="731"/>
      <c r="C109" s="731"/>
      <c r="D109" s="731"/>
      <c r="E109" s="731"/>
      <c r="F109" s="731"/>
      <c r="G109" s="732"/>
      <c r="H109" s="172" t="s">
        <v>386</v>
      </c>
      <c r="I109" s="184">
        <f>I69</f>
        <v>1304.4000000000001</v>
      </c>
    </row>
    <row r="110" spans="1:9">
      <c r="A110" s="730"/>
      <c r="B110" s="731"/>
      <c r="C110" s="731"/>
      <c r="D110" s="731"/>
      <c r="E110" s="731"/>
      <c r="F110" s="731"/>
      <c r="G110" s="732"/>
      <c r="H110" s="172" t="s">
        <v>363</v>
      </c>
      <c r="I110" s="184">
        <f>I78</f>
        <v>107.25</v>
      </c>
    </row>
    <row r="111" spans="1:9">
      <c r="A111" s="730"/>
      <c r="B111" s="731"/>
      <c r="C111" s="731"/>
      <c r="D111" s="731"/>
      <c r="E111" s="731"/>
      <c r="F111" s="731"/>
      <c r="G111" s="732"/>
      <c r="H111" s="172" t="s">
        <v>387</v>
      </c>
      <c r="I111" s="233">
        <f>I100</f>
        <v>268.95643499999994</v>
      </c>
    </row>
    <row r="112" spans="1:9">
      <c r="A112" s="730"/>
      <c r="B112" s="731"/>
      <c r="C112" s="731"/>
      <c r="D112" s="731"/>
      <c r="E112" s="731"/>
      <c r="F112" s="731"/>
      <c r="G112" s="732"/>
      <c r="H112" s="232" t="s">
        <v>388</v>
      </c>
      <c r="I112" s="231">
        <f>I107</f>
        <v>796.2</v>
      </c>
    </row>
    <row r="113" spans="1:9">
      <c r="A113" s="733"/>
      <c r="B113" s="734"/>
      <c r="C113" s="734"/>
      <c r="D113" s="734"/>
      <c r="E113" s="734"/>
      <c r="F113" s="734"/>
      <c r="G113" s="735"/>
      <c r="H113" s="232" t="s">
        <v>110</v>
      </c>
      <c r="I113" s="231">
        <f>SUM(I108:I112)</f>
        <v>3976.8064350000004</v>
      </c>
    </row>
    <row r="114" spans="1:9">
      <c r="A114" s="736" t="s">
        <v>389</v>
      </c>
      <c r="B114" s="736"/>
      <c r="C114" s="736"/>
      <c r="D114" s="736"/>
      <c r="E114" s="736"/>
      <c r="F114" s="736"/>
      <c r="G114" s="736"/>
      <c r="H114" s="736"/>
      <c r="I114" s="737"/>
    </row>
    <row r="115" spans="1:9">
      <c r="A115" s="152">
        <v>6</v>
      </c>
      <c r="B115" s="680" t="s">
        <v>390</v>
      </c>
      <c r="C115" s="681"/>
      <c r="D115" s="681"/>
      <c r="E115" s="681"/>
      <c r="F115" s="681"/>
      <c r="G115" s="682"/>
      <c r="H115" s="153" t="s">
        <v>299</v>
      </c>
      <c r="I115" s="154" t="s">
        <v>300</v>
      </c>
    </row>
    <row r="116" spans="1:9">
      <c r="A116" s="13" t="s">
        <v>277</v>
      </c>
      <c r="B116" s="691" t="s">
        <v>391</v>
      </c>
      <c r="C116" s="659"/>
      <c r="D116" s="659"/>
      <c r="E116" s="659"/>
      <c r="F116" s="659"/>
      <c r="G116" s="660"/>
      <c r="H116" s="149">
        <f>'1-Servente Goiânia SRA'!H116</f>
        <v>0.03</v>
      </c>
      <c r="I116" s="222">
        <f>I113*H116</f>
        <v>119.30419305000001</v>
      </c>
    </row>
    <row r="117" spans="1:9">
      <c r="A117" s="13" t="s">
        <v>280</v>
      </c>
      <c r="B117" s="691" t="s">
        <v>392</v>
      </c>
      <c r="C117" s="659"/>
      <c r="D117" s="659"/>
      <c r="E117" s="659"/>
      <c r="F117" s="659"/>
      <c r="G117" s="660"/>
      <c r="H117" s="149">
        <f>'1-Servente Goiânia SRA'!H117</f>
        <v>2.5790400000000002E-2</v>
      </c>
      <c r="I117" s="222">
        <f>(I113+I116)*H117</f>
        <v>105.64033154166074</v>
      </c>
    </row>
    <row r="118" spans="1:9">
      <c r="A118" s="13" t="s">
        <v>282</v>
      </c>
      <c r="B118" s="658" t="s">
        <v>393</v>
      </c>
      <c r="C118" s="659"/>
      <c r="D118" s="659"/>
      <c r="E118" s="659"/>
      <c r="F118" s="659"/>
      <c r="G118" s="660"/>
      <c r="H118" s="185"/>
      <c r="I118" s="234"/>
    </row>
    <row r="119" spans="1:9">
      <c r="A119" s="70"/>
      <c r="B119" s="658" t="s">
        <v>394</v>
      </c>
      <c r="C119" s="659"/>
      <c r="D119" s="659"/>
      <c r="E119" s="659"/>
      <c r="F119" s="659"/>
      <c r="G119" s="660"/>
      <c r="H119" s="149" t="s">
        <v>344</v>
      </c>
      <c r="I119" s="222" t="s">
        <v>344</v>
      </c>
    </row>
    <row r="120" spans="1:9">
      <c r="A120" s="70"/>
      <c r="B120" s="637" t="s">
        <v>395</v>
      </c>
      <c r="C120" s="578"/>
      <c r="D120" s="578"/>
      <c r="E120" s="578"/>
      <c r="F120" s="578"/>
      <c r="G120" s="579"/>
      <c r="H120" s="149">
        <f>'1-Servente Goiânia SRA'!H120</f>
        <v>1.6500000000000001E-2</v>
      </c>
      <c r="I120" s="222">
        <f>(I113+I116+I117)/(1-H125)*H120</f>
        <v>80.850018464445981</v>
      </c>
    </row>
    <row r="121" spans="1:9">
      <c r="A121" s="70"/>
      <c r="B121" s="698" t="s">
        <v>396</v>
      </c>
      <c r="C121" s="578"/>
      <c r="D121" s="578"/>
      <c r="E121" s="578"/>
      <c r="F121" s="578"/>
      <c r="G121" s="579"/>
      <c r="H121" s="149">
        <f>'1-Servente Goiânia SRA'!H121</f>
        <v>7.5999999999999998E-2</v>
      </c>
      <c r="I121" s="222">
        <f>(I113+I116+I117)/(1-H125)*H121</f>
        <v>372.40008504835725</v>
      </c>
    </row>
    <row r="122" spans="1:9">
      <c r="A122" s="70"/>
      <c r="B122" s="698" t="s">
        <v>397</v>
      </c>
      <c r="C122" s="699"/>
      <c r="D122" s="699"/>
      <c r="E122" s="699"/>
      <c r="F122" s="699"/>
      <c r="G122" s="700"/>
      <c r="H122" s="217"/>
      <c r="I122" s="222"/>
    </row>
    <row r="123" spans="1:9">
      <c r="A123" s="70"/>
      <c r="B123" s="698" t="s">
        <v>398</v>
      </c>
      <c r="C123" s="699"/>
      <c r="D123" s="699"/>
      <c r="E123" s="699"/>
      <c r="F123" s="699"/>
      <c r="G123" s="700"/>
      <c r="H123" s="217"/>
      <c r="I123" s="222"/>
    </row>
    <row r="124" spans="1:9">
      <c r="A124" s="70"/>
      <c r="B124" s="637" t="s">
        <v>399</v>
      </c>
      <c r="C124" s="578"/>
      <c r="D124" s="578"/>
      <c r="E124" s="578"/>
      <c r="F124" s="578"/>
      <c r="G124" s="579"/>
      <c r="H124" s="235">
        <f>'BASE-Alíquotas ISS'!B2</f>
        <v>0.05</v>
      </c>
      <c r="I124" s="222">
        <f>(I113+I116+I117)/(1-H125)*H124</f>
        <v>245.00005595286663</v>
      </c>
    </row>
    <row r="125" spans="1:9" ht="14.25" customHeight="1">
      <c r="A125" s="580"/>
      <c r="B125" s="707"/>
      <c r="C125" s="707"/>
      <c r="D125" s="707"/>
      <c r="E125" s="707"/>
      <c r="F125" s="707"/>
      <c r="G125" s="581"/>
      <c r="H125" s="224">
        <f>SUM(H120:H124)</f>
        <v>0.14250000000000002</v>
      </c>
      <c r="I125" s="222"/>
    </row>
    <row r="126" spans="1:9">
      <c r="A126" s="623" t="s">
        <v>110</v>
      </c>
      <c r="B126" s="624"/>
      <c r="C126" s="624"/>
      <c r="D126" s="624"/>
      <c r="E126" s="624"/>
      <c r="F126" s="624"/>
      <c r="G126" s="624"/>
      <c r="H126" s="236">
        <f>SUM(H116,H117,H125)</f>
        <v>0.19829040000000003</v>
      </c>
      <c r="I126" s="223">
        <f>SUM(I116:I124)</f>
        <v>923.19468405733062</v>
      </c>
    </row>
    <row r="127" spans="1:9" ht="40.5" customHeight="1">
      <c r="A127" s="698" t="s">
        <v>400</v>
      </c>
      <c r="B127" s="593"/>
      <c r="C127" s="593"/>
      <c r="D127" s="593"/>
      <c r="E127" s="593"/>
      <c r="F127" s="593"/>
      <c r="G127" s="593"/>
      <c r="H127" s="721"/>
      <c r="I127" s="594"/>
    </row>
    <row r="128" spans="1:9">
      <c r="A128" s="722"/>
      <c r="B128" s="723"/>
      <c r="C128" s="723"/>
      <c r="D128" s="723"/>
      <c r="E128" s="723"/>
      <c r="F128" s="723"/>
      <c r="G128" s="723"/>
      <c r="H128" s="723"/>
      <c r="I128" s="723"/>
    </row>
    <row r="129" spans="1:9">
      <c r="A129" s="724" t="s">
        <v>401</v>
      </c>
      <c r="B129" s="725"/>
      <c r="C129" s="725"/>
      <c r="D129" s="725"/>
      <c r="E129" s="725"/>
      <c r="F129" s="725"/>
      <c r="G129" s="725"/>
      <c r="H129" s="725"/>
      <c r="I129" s="726"/>
    </row>
    <row r="130" spans="1:9">
      <c r="A130" s="589" t="s">
        <v>402</v>
      </c>
      <c r="B130" s="590"/>
      <c r="C130" s="590"/>
      <c r="D130" s="590"/>
      <c r="E130" s="590"/>
      <c r="F130" s="590"/>
      <c r="G130" s="590"/>
      <c r="H130" s="591"/>
      <c r="I130" s="161" t="s">
        <v>300</v>
      </c>
    </row>
    <row r="131" spans="1:9">
      <c r="A131" s="186" t="s">
        <v>277</v>
      </c>
      <c r="B131" s="577" t="s">
        <v>403</v>
      </c>
      <c r="C131" s="578"/>
      <c r="D131" s="578"/>
      <c r="E131" s="578"/>
      <c r="F131" s="578"/>
      <c r="G131" s="578"/>
      <c r="H131" s="579"/>
      <c r="I131" s="166">
        <f>I30</f>
        <v>1500</v>
      </c>
    </row>
    <row r="132" spans="1:9">
      <c r="A132" s="186" t="s">
        <v>280</v>
      </c>
      <c r="B132" s="577" t="s">
        <v>352</v>
      </c>
      <c r="C132" s="578"/>
      <c r="D132" s="578"/>
      <c r="E132" s="578"/>
      <c r="F132" s="578"/>
      <c r="G132" s="578"/>
      <c r="H132" s="579"/>
      <c r="I132" s="166">
        <f>I69</f>
        <v>1304.4000000000001</v>
      </c>
    </row>
    <row r="133" spans="1:9">
      <c r="A133" s="186" t="s">
        <v>282</v>
      </c>
      <c r="B133" s="577" t="s">
        <v>404</v>
      </c>
      <c r="C133" s="578"/>
      <c r="D133" s="578"/>
      <c r="E133" s="578"/>
      <c r="F133" s="578"/>
      <c r="G133" s="578"/>
      <c r="H133" s="579"/>
      <c r="I133" s="166">
        <f>I78</f>
        <v>107.25</v>
      </c>
    </row>
    <row r="134" spans="1:9">
      <c r="A134" s="186" t="s">
        <v>284</v>
      </c>
      <c r="B134" s="577" t="s">
        <v>379</v>
      </c>
      <c r="C134" s="578"/>
      <c r="D134" s="578"/>
      <c r="E134" s="578"/>
      <c r="F134" s="578"/>
      <c r="G134" s="578"/>
      <c r="H134" s="579"/>
      <c r="I134" s="166">
        <f>I100</f>
        <v>268.95643499999994</v>
      </c>
    </row>
    <row r="135" spans="1:9">
      <c r="A135" s="186" t="s">
        <v>306</v>
      </c>
      <c r="B135" s="577" t="s">
        <v>405</v>
      </c>
      <c r="C135" s="578"/>
      <c r="D135" s="578"/>
      <c r="E135" s="578"/>
      <c r="F135" s="578"/>
      <c r="G135" s="578"/>
      <c r="H135" s="579"/>
      <c r="I135" s="166">
        <f>I107</f>
        <v>796.2</v>
      </c>
    </row>
    <row r="136" spans="1:9">
      <c r="A136" s="695" t="s">
        <v>406</v>
      </c>
      <c r="B136" s="696"/>
      <c r="C136" s="696"/>
      <c r="D136" s="696"/>
      <c r="E136" s="696"/>
      <c r="F136" s="696"/>
      <c r="G136" s="696"/>
      <c r="H136" s="697"/>
      <c r="I136" s="187">
        <f>SUM(I131:I135)</f>
        <v>3976.8064350000004</v>
      </c>
    </row>
    <row r="137" spans="1:9">
      <c r="A137" s="186" t="s">
        <v>308</v>
      </c>
      <c r="B137" s="577" t="s">
        <v>407</v>
      </c>
      <c r="C137" s="578"/>
      <c r="D137" s="578"/>
      <c r="E137" s="578"/>
      <c r="F137" s="578"/>
      <c r="G137" s="578"/>
      <c r="H137" s="579"/>
      <c r="I137" s="188">
        <f>I126</f>
        <v>923.19468405733062</v>
      </c>
    </row>
    <row r="138" spans="1:9">
      <c r="A138" s="695" t="s">
        <v>408</v>
      </c>
      <c r="B138" s="696"/>
      <c r="C138" s="696"/>
      <c r="D138" s="696"/>
      <c r="E138" s="696"/>
      <c r="F138" s="696"/>
      <c r="G138" s="696"/>
      <c r="H138" s="697"/>
      <c r="I138" s="189">
        <f>SUM(I136+I137)</f>
        <v>4900.0011190573314</v>
      </c>
    </row>
    <row r="139" spans="1:9">
      <c r="A139" s="190"/>
      <c r="B139" s="190"/>
      <c r="C139" s="190"/>
      <c r="D139" s="190"/>
      <c r="E139" s="190"/>
      <c r="F139" s="190"/>
      <c r="G139" s="190"/>
      <c r="H139" s="190"/>
      <c r="I139" s="191"/>
    </row>
    <row r="140" spans="1:9">
      <c r="A140" s="190"/>
      <c r="B140" s="190"/>
      <c r="C140" s="190"/>
      <c r="D140" s="190"/>
      <c r="E140" s="190"/>
      <c r="F140" s="190"/>
      <c r="G140" s="190"/>
      <c r="H140" s="190"/>
      <c r="I140" s="191"/>
    </row>
    <row r="141" spans="1:9">
      <c r="A141" s="708" t="s">
        <v>409</v>
      </c>
      <c r="B141" s="709"/>
      <c r="C141" s="709"/>
      <c r="D141" s="709"/>
      <c r="E141" s="709"/>
      <c r="F141" s="710"/>
      <c r="I141" s="150"/>
    </row>
    <row r="142" spans="1:9" ht="39.6">
      <c r="A142" s="192" t="s">
        <v>410</v>
      </c>
      <c r="B142" s="204" t="s">
        <v>411</v>
      </c>
      <c r="C142" s="193" t="s">
        <v>412</v>
      </c>
      <c r="D142" s="711" t="s">
        <v>413</v>
      </c>
      <c r="E142" s="712"/>
      <c r="F142" s="713"/>
    </row>
    <row r="143" spans="1:9" ht="39.6">
      <c r="A143" s="256" t="s">
        <v>414</v>
      </c>
      <c r="B143" s="195">
        <f>I138</f>
        <v>4900.0011190573314</v>
      </c>
      <c r="C143" s="194">
        <f>'PROPOSTA RESUMO'!E26</f>
        <v>7</v>
      </c>
      <c r="D143" s="714">
        <f>ROUND(SUM(B143*C143),1)</f>
        <v>34300</v>
      </c>
      <c r="E143" s="715"/>
      <c r="F143" s="716"/>
    </row>
    <row r="144" spans="1:9">
      <c r="A144" s="190"/>
      <c r="B144" s="190"/>
      <c r="C144" s="190"/>
      <c r="D144" s="190"/>
      <c r="E144" s="190"/>
      <c r="F144" s="190"/>
    </row>
    <row r="145" spans="1:6">
      <c r="A145" s="190"/>
      <c r="B145" s="190"/>
      <c r="C145" s="190"/>
      <c r="D145" s="190"/>
      <c r="E145" s="190"/>
      <c r="F145" s="190"/>
    </row>
    <row r="146" spans="1:6">
      <c r="A146" s="717" t="s">
        <v>415</v>
      </c>
      <c r="B146" s="718"/>
      <c r="C146" s="718"/>
      <c r="D146" s="718"/>
      <c r="E146" s="718"/>
      <c r="F146" s="719"/>
    </row>
    <row r="147" spans="1:6">
      <c r="A147" s="192"/>
      <c r="B147" s="692" t="s">
        <v>416</v>
      </c>
      <c r="C147" s="693"/>
      <c r="D147" s="693"/>
      <c r="E147" s="694"/>
      <c r="F147" s="192" t="s">
        <v>417</v>
      </c>
    </row>
    <row r="148" spans="1:6" ht="12.75" customHeight="1">
      <c r="A148" s="194" t="s">
        <v>277</v>
      </c>
      <c r="B148" s="701" t="s">
        <v>418</v>
      </c>
      <c r="C148" s="702"/>
      <c r="D148" s="702"/>
      <c r="E148" s="703"/>
      <c r="F148" s="196">
        <f>D143</f>
        <v>34300</v>
      </c>
    </row>
    <row r="149" spans="1:6" ht="59.25" customHeight="1">
      <c r="A149" s="194" t="s">
        <v>280</v>
      </c>
      <c r="B149" s="704" t="s">
        <v>419</v>
      </c>
      <c r="C149" s="705"/>
      <c r="D149" s="705"/>
      <c r="E149" s="706"/>
      <c r="F149" s="196">
        <f>F148*12</f>
        <v>411600</v>
      </c>
    </row>
  </sheetData>
  <mergeCells count="143">
    <mergeCell ref="B8:G8"/>
    <mergeCell ref="H8:I8"/>
    <mergeCell ref="B9:G9"/>
    <mergeCell ref="H9:I9"/>
    <mergeCell ref="B10:G10"/>
    <mergeCell ref="H10:I10"/>
    <mergeCell ref="A1:I1"/>
    <mergeCell ref="A2:I2"/>
    <mergeCell ref="A3:I3"/>
    <mergeCell ref="A5:I5"/>
    <mergeCell ref="A6:I6"/>
    <mergeCell ref="B7:G7"/>
    <mergeCell ref="H7:I7"/>
    <mergeCell ref="B16:G16"/>
    <mergeCell ref="H16:I16"/>
    <mergeCell ref="B17:G17"/>
    <mergeCell ref="H17:I17"/>
    <mergeCell ref="B18:G18"/>
    <mergeCell ref="H18:I18"/>
    <mergeCell ref="A11:I11"/>
    <mergeCell ref="A12:I12"/>
    <mergeCell ref="A13:I13"/>
    <mergeCell ref="A14:I14"/>
    <mergeCell ref="B15:G15"/>
    <mergeCell ref="H15:I15"/>
    <mergeCell ref="B24:G24"/>
    <mergeCell ref="B25:G25"/>
    <mergeCell ref="B26:G26"/>
    <mergeCell ref="B27:G27"/>
    <mergeCell ref="B28:G28"/>
    <mergeCell ref="B29:G29"/>
    <mergeCell ref="B19:G19"/>
    <mergeCell ref="H19:I19"/>
    <mergeCell ref="A20:I20"/>
    <mergeCell ref="A21:I21"/>
    <mergeCell ref="B22:G22"/>
    <mergeCell ref="B23:H23"/>
    <mergeCell ref="A36:G36"/>
    <mergeCell ref="A37:I37"/>
    <mergeCell ref="A38:G40"/>
    <mergeCell ref="A41:I41"/>
    <mergeCell ref="B42:G42"/>
    <mergeCell ref="B43:G43"/>
    <mergeCell ref="A30:H30"/>
    <mergeCell ref="A31:I31"/>
    <mergeCell ref="A32:I32"/>
    <mergeCell ref="B33:G33"/>
    <mergeCell ref="B34:G34"/>
    <mergeCell ref="B35:G35"/>
    <mergeCell ref="B50:G50"/>
    <mergeCell ref="A51:G51"/>
    <mergeCell ref="A52:I52"/>
    <mergeCell ref="A53:I53"/>
    <mergeCell ref="B54:H54"/>
    <mergeCell ref="B55:H55"/>
    <mergeCell ref="B44:G44"/>
    <mergeCell ref="B45:C45"/>
    <mergeCell ref="B46:G46"/>
    <mergeCell ref="B47:G47"/>
    <mergeCell ref="B48:G48"/>
    <mergeCell ref="B49:G49"/>
    <mergeCell ref="B62:H62"/>
    <mergeCell ref="A63:I63"/>
    <mergeCell ref="A64:I64"/>
    <mergeCell ref="B65:H65"/>
    <mergeCell ref="B66:H66"/>
    <mergeCell ref="B67:H67"/>
    <mergeCell ref="B56:G56"/>
    <mergeCell ref="B57:G57"/>
    <mergeCell ref="B58:G58"/>
    <mergeCell ref="B59:G59"/>
    <mergeCell ref="B60:G60"/>
    <mergeCell ref="B61:G61"/>
    <mergeCell ref="B74:G74"/>
    <mergeCell ref="B75:G75"/>
    <mergeCell ref="B76:G76"/>
    <mergeCell ref="B77:G77"/>
    <mergeCell ref="A78:H78"/>
    <mergeCell ref="A79:G82"/>
    <mergeCell ref="B68:H68"/>
    <mergeCell ref="A69:H69"/>
    <mergeCell ref="A70:I70"/>
    <mergeCell ref="A71:I71"/>
    <mergeCell ref="B72:G72"/>
    <mergeCell ref="B73:G73"/>
    <mergeCell ref="B89:G89"/>
    <mergeCell ref="B90:G90"/>
    <mergeCell ref="B91:G91"/>
    <mergeCell ref="A92:H92"/>
    <mergeCell ref="B93:H93"/>
    <mergeCell ref="B94:G94"/>
    <mergeCell ref="A83:I83"/>
    <mergeCell ref="A84:I84"/>
    <mergeCell ref="B85:G85"/>
    <mergeCell ref="B86:G86"/>
    <mergeCell ref="B87:G87"/>
    <mergeCell ref="B88:G88"/>
    <mergeCell ref="A101:I101"/>
    <mergeCell ref="A102:I102"/>
    <mergeCell ref="B103:H103"/>
    <mergeCell ref="B104:H104"/>
    <mergeCell ref="B105:H105"/>
    <mergeCell ref="B106:H106"/>
    <mergeCell ref="A95:H95"/>
    <mergeCell ref="A96:I96"/>
    <mergeCell ref="B97:H97"/>
    <mergeCell ref="B98:G98"/>
    <mergeCell ref="B99:G99"/>
    <mergeCell ref="A100:H100"/>
    <mergeCell ref="B118:G118"/>
    <mergeCell ref="B119:G119"/>
    <mergeCell ref="B120:G120"/>
    <mergeCell ref="B121:G121"/>
    <mergeCell ref="B122:G122"/>
    <mergeCell ref="B123:G123"/>
    <mergeCell ref="A107:H107"/>
    <mergeCell ref="A108:G113"/>
    <mergeCell ref="A114:I114"/>
    <mergeCell ref="B115:G115"/>
    <mergeCell ref="B116:G116"/>
    <mergeCell ref="B117:G117"/>
    <mergeCell ref="A130:H130"/>
    <mergeCell ref="B131:H131"/>
    <mergeCell ref="B132:H132"/>
    <mergeCell ref="B133:H133"/>
    <mergeCell ref="B134:H134"/>
    <mergeCell ref="B135:H135"/>
    <mergeCell ref="B124:G124"/>
    <mergeCell ref="A125:G125"/>
    <mergeCell ref="A126:G126"/>
    <mergeCell ref="A127:I127"/>
    <mergeCell ref="A128:I128"/>
    <mergeCell ref="A129:I129"/>
    <mergeCell ref="A146:F146"/>
    <mergeCell ref="B147:E147"/>
    <mergeCell ref="B149:E149"/>
    <mergeCell ref="A136:H136"/>
    <mergeCell ref="B137:H137"/>
    <mergeCell ref="A138:H138"/>
    <mergeCell ref="A141:F141"/>
    <mergeCell ref="D142:F142"/>
    <mergeCell ref="D143:F143"/>
    <mergeCell ref="B148:E148"/>
  </mergeCells>
  <pageMargins left="0.511811024" right="0.511811024" top="0.78740157499999996" bottom="0.78740157499999996" header="0.31496062000000002" footer="0.31496062000000002"/>
  <pageSetup paperSize="9" orientation="portrait" horizontalDpi="1200" verticalDpi="12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26C36-54B6-4E21-8A70-235DC9F23175}">
  <sheetPr>
    <tabColor rgb="FF0070C0"/>
  </sheetPr>
  <dimension ref="A1:P149"/>
  <sheetViews>
    <sheetView showGridLines="0" topLeftCell="A135" workbookViewId="0">
      <selection activeCell="H148" sqref="H148"/>
    </sheetView>
  </sheetViews>
  <sheetFormatPr defaultColWidth="9.109375" defaultRowHeight="13.2"/>
  <cols>
    <col min="1" max="2" width="13.6640625" style="23" customWidth="1"/>
    <col min="3" max="3" width="16.6640625" style="23" customWidth="1"/>
    <col min="4" max="4" width="14.6640625" style="23" customWidth="1"/>
    <col min="5" max="5" width="12.44140625" style="23" customWidth="1"/>
    <col min="6" max="6" width="13.109375" style="23" bestFit="1" customWidth="1"/>
    <col min="7" max="7" width="12.33203125" style="23" customWidth="1"/>
    <col min="8" max="8" width="20.44140625" style="23" customWidth="1"/>
    <col min="9" max="9" width="23.88671875" style="23" customWidth="1"/>
    <col min="10" max="10" width="9.109375" style="23"/>
    <col min="11" max="11" width="11" style="23" bestFit="1" customWidth="1"/>
    <col min="12" max="12" width="9.44140625" style="23" bestFit="1" customWidth="1"/>
    <col min="13" max="13" width="11" style="23" bestFit="1" customWidth="1"/>
    <col min="14" max="14" width="9.109375" style="23"/>
    <col min="15" max="15" width="11.109375" style="23" customWidth="1"/>
    <col min="16" max="18" width="9.109375" style="23"/>
    <col min="19" max="19" width="9.44140625" style="23" bestFit="1" customWidth="1"/>
    <col min="20" max="16384" width="9.109375" style="23"/>
  </cols>
  <sheetData>
    <row r="1" spans="1:9" ht="61.5" customHeight="1">
      <c r="A1" s="582" t="s">
        <v>274</v>
      </c>
      <c r="B1" s="583"/>
      <c r="C1" s="583"/>
      <c r="D1" s="583"/>
      <c r="E1" s="583"/>
      <c r="F1" s="583"/>
      <c r="G1" s="583"/>
      <c r="H1" s="583"/>
      <c r="I1" s="583"/>
    </row>
    <row r="2" spans="1:9" ht="12.75" customHeight="1">
      <c r="A2" s="584" t="str">
        <f>'BASE-APR VR'!A50</f>
        <v>Nº Processo nº 10180.100793/2023-43</v>
      </c>
      <c r="B2" s="584"/>
      <c r="C2" s="584"/>
      <c r="D2" s="584"/>
      <c r="E2" s="584"/>
      <c r="F2" s="584"/>
      <c r="G2" s="584"/>
      <c r="H2" s="584"/>
      <c r="I2" s="584"/>
    </row>
    <row r="3" spans="1:9" ht="12.75" customHeight="1">
      <c r="A3" s="584" t="s">
        <v>275</v>
      </c>
      <c r="B3" s="584"/>
      <c r="C3" s="584"/>
      <c r="D3" s="584"/>
      <c r="E3" s="584"/>
      <c r="F3" s="584"/>
      <c r="G3" s="584"/>
      <c r="H3" s="584"/>
      <c r="I3" s="584"/>
    </row>
    <row r="4" spans="1:9" ht="12.75" customHeight="1">
      <c r="A4" s="214"/>
      <c r="B4" s="214"/>
      <c r="C4" s="214"/>
      <c r="D4" s="214"/>
      <c r="E4" s="214"/>
      <c r="F4" s="214"/>
      <c r="G4" s="214"/>
      <c r="H4" s="214"/>
      <c r="I4" s="214"/>
    </row>
    <row r="5" spans="1:9" ht="12.75" customHeight="1">
      <c r="A5" s="585"/>
      <c r="B5" s="585"/>
      <c r="C5" s="585"/>
      <c r="D5" s="585"/>
      <c r="E5" s="585"/>
      <c r="F5" s="585"/>
      <c r="G5" s="585"/>
      <c r="H5" s="585"/>
      <c r="I5" s="585"/>
    </row>
    <row r="6" spans="1:9" ht="21" customHeight="1">
      <c r="A6" s="586" t="s">
        <v>276</v>
      </c>
      <c r="B6" s="587"/>
      <c r="C6" s="587"/>
      <c r="D6" s="587"/>
      <c r="E6" s="587"/>
      <c r="F6" s="587"/>
      <c r="G6" s="587"/>
      <c r="H6" s="587"/>
      <c r="I6" s="588"/>
    </row>
    <row r="7" spans="1:9">
      <c r="A7" s="145" t="s">
        <v>277</v>
      </c>
      <c r="B7" s="592" t="s">
        <v>278</v>
      </c>
      <c r="C7" s="593"/>
      <c r="D7" s="593"/>
      <c r="E7" s="593"/>
      <c r="F7" s="593"/>
      <c r="G7" s="594"/>
      <c r="H7" s="595" t="s">
        <v>279</v>
      </c>
      <c r="I7" s="596"/>
    </row>
    <row r="8" spans="1:9">
      <c r="A8" s="9" t="s">
        <v>280</v>
      </c>
      <c r="B8" s="577" t="s">
        <v>281</v>
      </c>
      <c r="C8" s="578"/>
      <c r="D8" s="578"/>
      <c r="E8" s="578"/>
      <c r="F8" s="578"/>
      <c r="G8" s="579"/>
      <c r="H8" s="597" t="s">
        <v>260</v>
      </c>
      <c r="I8" s="598"/>
    </row>
    <row r="9" spans="1:9" ht="37.5" customHeight="1">
      <c r="A9" s="9" t="s">
        <v>282</v>
      </c>
      <c r="B9" s="577" t="s">
        <v>283</v>
      </c>
      <c r="C9" s="578"/>
      <c r="D9" s="578"/>
      <c r="E9" s="578"/>
      <c r="F9" s="578"/>
      <c r="G9" s="579"/>
      <c r="H9" s="580" t="str">
        <f>'BASE-APR VR'!A53</f>
        <v xml:space="preserve">GO000832/2023 </v>
      </c>
      <c r="I9" s="581"/>
    </row>
    <row r="10" spans="1:9">
      <c r="A10" s="9" t="s">
        <v>284</v>
      </c>
      <c r="B10" s="577" t="s">
        <v>285</v>
      </c>
      <c r="C10" s="578"/>
      <c r="D10" s="578"/>
      <c r="E10" s="578"/>
      <c r="F10" s="578"/>
      <c r="G10" s="579"/>
      <c r="H10" s="597">
        <v>12</v>
      </c>
      <c r="I10" s="598"/>
    </row>
    <row r="11" spans="1:9">
      <c r="A11" s="577" t="s">
        <v>286</v>
      </c>
      <c r="B11" s="578"/>
      <c r="C11" s="578"/>
      <c r="D11" s="578"/>
      <c r="E11" s="578"/>
      <c r="F11" s="578"/>
      <c r="G11" s="578"/>
      <c r="H11" s="578"/>
      <c r="I11" s="579"/>
    </row>
    <row r="12" spans="1:9">
      <c r="A12" s="603"/>
      <c r="B12" s="604"/>
      <c r="C12" s="604"/>
      <c r="D12" s="604"/>
      <c r="E12" s="604"/>
      <c r="F12" s="604"/>
      <c r="G12" s="604"/>
      <c r="H12" s="604"/>
      <c r="I12" s="605"/>
    </row>
    <row r="13" spans="1:9">
      <c r="A13" s="606" t="s">
        <v>287</v>
      </c>
      <c r="B13" s="607"/>
      <c r="C13" s="607"/>
      <c r="D13" s="607"/>
      <c r="E13" s="607"/>
      <c r="F13" s="607"/>
      <c r="G13" s="607"/>
      <c r="H13" s="607"/>
      <c r="I13" s="608"/>
    </row>
    <row r="14" spans="1:9">
      <c r="A14" s="589" t="s">
        <v>288</v>
      </c>
      <c r="B14" s="590"/>
      <c r="C14" s="590"/>
      <c r="D14" s="590"/>
      <c r="E14" s="590"/>
      <c r="F14" s="590"/>
      <c r="G14" s="590"/>
      <c r="H14" s="590"/>
      <c r="I14" s="591"/>
    </row>
    <row r="15" spans="1:9" ht="42" customHeight="1">
      <c r="A15" s="9">
        <v>1</v>
      </c>
      <c r="B15" s="577" t="s">
        <v>289</v>
      </c>
      <c r="C15" s="578"/>
      <c r="D15" s="578"/>
      <c r="E15" s="578"/>
      <c r="F15" s="578"/>
      <c r="G15" s="579"/>
      <c r="H15" s="599" t="s">
        <v>290</v>
      </c>
      <c r="I15" s="600"/>
    </row>
    <row r="16" spans="1:9">
      <c r="A16" s="9">
        <v>2</v>
      </c>
      <c r="B16" s="577" t="s">
        <v>291</v>
      </c>
      <c r="C16" s="578"/>
      <c r="D16" s="578"/>
      <c r="E16" s="578"/>
      <c r="F16" s="578"/>
      <c r="G16" s="579"/>
      <c r="H16" s="601" t="s">
        <v>292</v>
      </c>
      <c r="I16" s="602"/>
    </row>
    <row r="17" spans="1:13">
      <c r="A17" s="9">
        <v>3</v>
      </c>
      <c r="B17" s="577" t="s">
        <v>293</v>
      </c>
      <c r="C17" s="578"/>
      <c r="D17" s="578"/>
      <c r="E17" s="578"/>
      <c r="F17" s="578"/>
      <c r="G17" s="579"/>
      <c r="H17" s="601">
        <f>'BASE-APR VR'!C15</f>
        <v>1500</v>
      </c>
      <c r="I17" s="602"/>
    </row>
    <row r="18" spans="1:13">
      <c r="A18" s="9">
        <v>4</v>
      </c>
      <c r="B18" s="577" t="s">
        <v>294</v>
      </c>
      <c r="C18" s="578"/>
      <c r="D18" s="578"/>
      <c r="E18" s="578"/>
      <c r="F18" s="578"/>
      <c r="G18" s="579"/>
      <c r="H18" s="601" t="s">
        <v>295</v>
      </c>
      <c r="I18" s="602"/>
    </row>
    <row r="19" spans="1:13">
      <c r="A19" s="14">
        <v>5</v>
      </c>
      <c r="B19" s="577" t="s">
        <v>296</v>
      </c>
      <c r="C19" s="578"/>
      <c r="D19" s="578"/>
      <c r="E19" s="578"/>
      <c r="F19" s="578"/>
      <c r="G19" s="579"/>
      <c r="H19" s="612" t="s">
        <v>247</v>
      </c>
      <c r="I19" s="613"/>
    </row>
    <row r="20" spans="1:13">
      <c r="A20" s="614"/>
      <c r="B20" s="615"/>
      <c r="C20" s="615"/>
      <c r="D20" s="615"/>
      <c r="E20" s="615"/>
      <c r="F20" s="615"/>
      <c r="G20" s="615"/>
      <c r="H20" s="615"/>
      <c r="I20" s="616"/>
    </row>
    <row r="21" spans="1:13">
      <c r="A21" s="606" t="s">
        <v>297</v>
      </c>
      <c r="B21" s="607"/>
      <c r="C21" s="607"/>
      <c r="D21" s="607"/>
      <c r="E21" s="607"/>
      <c r="F21" s="607"/>
      <c r="G21" s="607"/>
      <c r="H21" s="607"/>
      <c r="I21" s="608"/>
    </row>
    <row r="22" spans="1:13">
      <c r="A22" s="146">
        <v>1</v>
      </c>
      <c r="B22" s="589" t="s">
        <v>298</v>
      </c>
      <c r="C22" s="590"/>
      <c r="D22" s="590"/>
      <c r="E22" s="590"/>
      <c r="F22" s="590"/>
      <c r="G22" s="591"/>
      <c r="H22" s="146" t="s">
        <v>299</v>
      </c>
      <c r="I22" s="147" t="s">
        <v>300</v>
      </c>
    </row>
    <row r="23" spans="1:13">
      <c r="A23" s="9" t="s">
        <v>277</v>
      </c>
      <c r="B23" s="577" t="s">
        <v>301</v>
      </c>
      <c r="C23" s="578"/>
      <c r="D23" s="578"/>
      <c r="E23" s="578"/>
      <c r="F23" s="578"/>
      <c r="G23" s="578"/>
      <c r="H23" s="579"/>
      <c r="I23" s="148">
        <f>'BASE-APR VR'!C15</f>
        <v>1500</v>
      </c>
    </row>
    <row r="24" spans="1:13">
      <c r="A24" s="9" t="s">
        <v>280</v>
      </c>
      <c r="B24" s="620" t="s">
        <v>302</v>
      </c>
      <c r="C24" s="621"/>
      <c r="D24" s="621"/>
      <c r="E24" s="621"/>
      <c r="F24" s="621"/>
      <c r="G24" s="622"/>
      <c r="H24" s="217"/>
      <c r="I24" s="222"/>
      <c r="M24" s="198"/>
    </row>
    <row r="25" spans="1:13">
      <c r="A25" s="9" t="s">
        <v>282</v>
      </c>
      <c r="B25" s="609" t="s">
        <v>303</v>
      </c>
      <c r="C25" s="610"/>
      <c r="D25" s="610"/>
      <c r="E25" s="610"/>
      <c r="F25" s="610"/>
      <c r="G25" s="611"/>
      <c r="H25" s="68"/>
      <c r="I25" s="225"/>
    </row>
    <row r="26" spans="1:13">
      <c r="A26" s="9"/>
      <c r="B26" s="617" t="s">
        <v>304</v>
      </c>
      <c r="C26" s="618"/>
      <c r="D26" s="618"/>
      <c r="E26" s="618"/>
      <c r="F26" s="618"/>
      <c r="G26" s="619"/>
      <c r="H26" s="68"/>
      <c r="I26" s="225"/>
    </row>
    <row r="27" spans="1:13">
      <c r="A27" s="9" t="s">
        <v>284</v>
      </c>
      <c r="B27" s="584" t="s">
        <v>305</v>
      </c>
      <c r="C27" s="584"/>
      <c r="D27" s="584"/>
      <c r="E27" s="584"/>
      <c r="F27" s="584"/>
      <c r="G27" s="584"/>
      <c r="H27" s="9"/>
      <c r="I27" s="222"/>
    </row>
    <row r="28" spans="1:13">
      <c r="A28" s="9" t="s">
        <v>306</v>
      </c>
      <c r="B28" s="584" t="s">
        <v>307</v>
      </c>
      <c r="C28" s="584"/>
      <c r="D28" s="584"/>
      <c r="E28" s="584"/>
      <c r="F28" s="584"/>
      <c r="G28" s="584"/>
      <c r="H28" s="64"/>
      <c r="I28" s="222"/>
    </row>
    <row r="29" spans="1:13">
      <c r="A29" s="28" t="s">
        <v>308</v>
      </c>
      <c r="B29" s="584" t="s">
        <v>309</v>
      </c>
      <c r="C29" s="584"/>
      <c r="D29" s="584"/>
      <c r="E29" s="584"/>
      <c r="F29" s="584"/>
      <c r="G29" s="584"/>
      <c r="H29" s="64"/>
      <c r="I29" s="222"/>
    </row>
    <row r="30" spans="1:13">
      <c r="A30" s="638" t="s">
        <v>110</v>
      </c>
      <c r="B30" s="639"/>
      <c r="C30" s="639"/>
      <c r="D30" s="639"/>
      <c r="E30" s="639"/>
      <c r="F30" s="639"/>
      <c r="G30" s="639"/>
      <c r="H30" s="640"/>
      <c r="I30" s="151">
        <f>SUM(I23:I29)</f>
        <v>1500</v>
      </c>
    </row>
    <row r="31" spans="1:13" ht="32.25" customHeight="1">
      <c r="A31" s="641" t="s">
        <v>310</v>
      </c>
      <c r="B31" s="642"/>
      <c r="C31" s="642"/>
      <c r="D31" s="642"/>
      <c r="E31" s="642"/>
      <c r="F31" s="642"/>
      <c r="G31" s="642"/>
      <c r="H31" s="642"/>
      <c r="I31" s="643"/>
    </row>
    <row r="32" spans="1:13">
      <c r="A32" s="644" t="s">
        <v>311</v>
      </c>
      <c r="B32" s="645"/>
      <c r="C32" s="645"/>
      <c r="D32" s="645"/>
      <c r="E32" s="645"/>
      <c r="F32" s="645"/>
      <c r="G32" s="645"/>
      <c r="H32" s="645"/>
      <c r="I32" s="646"/>
    </row>
    <row r="33" spans="1:16">
      <c r="A33" s="152" t="s">
        <v>312</v>
      </c>
      <c r="B33" s="586" t="s">
        <v>313</v>
      </c>
      <c r="C33" s="587"/>
      <c r="D33" s="587"/>
      <c r="E33" s="587"/>
      <c r="F33" s="587"/>
      <c r="G33" s="587"/>
      <c r="H33" s="153" t="s">
        <v>314</v>
      </c>
      <c r="I33" s="154" t="s">
        <v>300</v>
      </c>
    </row>
    <row r="34" spans="1:16" ht="29.25" customHeight="1">
      <c r="A34" s="13" t="s">
        <v>277</v>
      </c>
      <c r="B34" s="637" t="s">
        <v>315</v>
      </c>
      <c r="C34" s="578"/>
      <c r="D34" s="578"/>
      <c r="E34" s="578"/>
      <c r="F34" s="578"/>
      <c r="G34" s="579"/>
      <c r="H34" s="155">
        <v>8.3333333333333329E-2</v>
      </c>
      <c r="I34" s="222">
        <f>TRUNC($I$30*H34,2)</f>
        <v>125</v>
      </c>
    </row>
    <row r="35" spans="1:16" ht="34.5" customHeight="1">
      <c r="A35" s="13" t="s">
        <v>316</v>
      </c>
      <c r="B35" s="637" t="s">
        <v>317</v>
      </c>
      <c r="C35" s="578"/>
      <c r="D35" s="578"/>
      <c r="E35" s="578"/>
      <c r="F35" s="578"/>
      <c r="G35" s="579"/>
      <c r="H35" s="218">
        <v>3.0249999999999999E-2</v>
      </c>
      <c r="I35" s="222">
        <f>TRUNC($I$30*H35,2)</f>
        <v>45.37</v>
      </c>
    </row>
    <row r="36" spans="1:16">
      <c r="A36" s="623" t="s">
        <v>110</v>
      </c>
      <c r="B36" s="624"/>
      <c r="C36" s="624"/>
      <c r="D36" s="624"/>
      <c r="E36" s="624"/>
      <c r="F36" s="624"/>
      <c r="G36" s="625"/>
      <c r="H36" s="156">
        <f>SUM(H34:H35)</f>
        <v>0.11358333333333333</v>
      </c>
      <c r="I36" s="157">
        <f>SUM(I34:I35)</f>
        <v>170.37</v>
      </c>
    </row>
    <row r="37" spans="1:16" ht="132.75" customHeight="1">
      <c r="A37" s="647" t="s">
        <v>420</v>
      </c>
      <c r="B37" s="648"/>
      <c r="C37" s="648"/>
      <c r="D37" s="648"/>
      <c r="E37" s="648"/>
      <c r="F37" s="648"/>
      <c r="G37" s="648"/>
      <c r="H37" s="648"/>
      <c r="I37" s="649"/>
    </row>
    <row r="38" spans="1:16">
      <c r="A38" s="626" t="s">
        <v>319</v>
      </c>
      <c r="B38" s="627"/>
      <c r="C38" s="627"/>
      <c r="D38" s="627"/>
      <c r="E38" s="627"/>
      <c r="F38" s="627"/>
      <c r="G38" s="628"/>
      <c r="H38" s="158" t="s">
        <v>320</v>
      </c>
      <c r="I38" s="159">
        <f>I30</f>
        <v>1500</v>
      </c>
    </row>
    <row r="39" spans="1:16">
      <c r="A39" s="629"/>
      <c r="B39" s="630"/>
      <c r="C39" s="630"/>
      <c r="D39" s="630"/>
      <c r="E39" s="630"/>
      <c r="F39" s="630"/>
      <c r="G39" s="631"/>
      <c r="H39" s="158" t="s">
        <v>321</v>
      </c>
      <c r="I39" s="159">
        <f>I36</f>
        <v>170.37</v>
      </c>
    </row>
    <row r="40" spans="1:16">
      <c r="A40" s="632"/>
      <c r="B40" s="633"/>
      <c r="C40" s="633"/>
      <c r="D40" s="633"/>
      <c r="E40" s="633"/>
      <c r="F40" s="633"/>
      <c r="G40" s="634"/>
      <c r="H40" s="158" t="s">
        <v>110</v>
      </c>
      <c r="I40" s="159">
        <f>SUM(I38:I39)</f>
        <v>1670.37</v>
      </c>
    </row>
    <row r="41" spans="1:16" ht="32.25" customHeight="1">
      <c r="A41" s="586" t="s">
        <v>322</v>
      </c>
      <c r="B41" s="635"/>
      <c r="C41" s="635"/>
      <c r="D41" s="635"/>
      <c r="E41" s="635"/>
      <c r="F41" s="635"/>
      <c r="G41" s="635"/>
      <c r="H41" s="635"/>
      <c r="I41" s="636"/>
    </row>
    <row r="42" spans="1:16" ht="12.75" customHeight="1">
      <c r="A42" s="160" t="s">
        <v>323</v>
      </c>
      <c r="B42" s="589" t="s">
        <v>324</v>
      </c>
      <c r="C42" s="590"/>
      <c r="D42" s="590"/>
      <c r="E42" s="590"/>
      <c r="F42" s="590"/>
      <c r="G42" s="591"/>
      <c r="H42" s="153" t="s">
        <v>314</v>
      </c>
      <c r="I42" s="161" t="s">
        <v>300</v>
      </c>
      <c r="M42" s="198"/>
    </row>
    <row r="43" spans="1:16">
      <c r="A43" s="162" t="s">
        <v>277</v>
      </c>
      <c r="B43" s="637" t="s">
        <v>325</v>
      </c>
      <c r="C43" s="578"/>
      <c r="D43" s="578"/>
      <c r="E43" s="578"/>
      <c r="F43" s="578"/>
      <c r="G43" s="579"/>
      <c r="H43" s="149">
        <v>0.2</v>
      </c>
      <c r="I43" s="222">
        <f>TRUNC(I40*H43,2)</f>
        <v>334.07</v>
      </c>
    </row>
    <row r="44" spans="1:16">
      <c r="A44" s="162" t="s">
        <v>280</v>
      </c>
      <c r="B44" s="637" t="s">
        <v>326</v>
      </c>
      <c r="C44" s="578"/>
      <c r="D44" s="664"/>
      <c r="E44" s="664"/>
      <c r="F44" s="664"/>
      <c r="G44" s="665"/>
      <c r="H44" s="149">
        <v>2.5000000000000001E-2</v>
      </c>
      <c r="I44" s="222">
        <f>TRUNC(I40*H44,2)</f>
        <v>41.75</v>
      </c>
    </row>
    <row r="45" spans="1:16" ht="35.25" customHeight="1">
      <c r="A45" s="162" t="s">
        <v>282</v>
      </c>
      <c r="B45" s="637" t="s">
        <v>327</v>
      </c>
      <c r="C45" s="668"/>
      <c r="D45" s="238" t="s">
        <v>328</v>
      </c>
      <c r="E45" s="220"/>
      <c r="F45" s="238" t="s">
        <v>329</v>
      </c>
      <c r="G45" s="220"/>
      <c r="H45" s="244">
        <f>'2-Servente Goiânia PFN'!H45</f>
        <v>3.6005999999999996E-2</v>
      </c>
      <c r="I45" s="222">
        <f>TRUNC(I40*H45,2)</f>
        <v>60.14</v>
      </c>
    </row>
    <row r="46" spans="1:16">
      <c r="A46" s="162" t="s">
        <v>284</v>
      </c>
      <c r="B46" s="637" t="s">
        <v>330</v>
      </c>
      <c r="C46" s="578"/>
      <c r="D46" s="666"/>
      <c r="E46" s="666"/>
      <c r="F46" s="666"/>
      <c r="G46" s="667"/>
      <c r="H46" s="149">
        <v>1.4999999999999999E-2</v>
      </c>
      <c r="I46" s="222">
        <f>TRUNC(I40*H46,2)</f>
        <v>25.05</v>
      </c>
    </row>
    <row r="47" spans="1:16">
      <c r="A47" s="162" t="s">
        <v>306</v>
      </c>
      <c r="B47" s="637" t="s">
        <v>331</v>
      </c>
      <c r="C47" s="578"/>
      <c r="D47" s="578"/>
      <c r="E47" s="578"/>
      <c r="F47" s="578"/>
      <c r="G47" s="579"/>
      <c r="H47" s="149">
        <v>0.01</v>
      </c>
      <c r="I47" s="222">
        <f>TRUNC(I40*H47,2)</f>
        <v>16.7</v>
      </c>
    </row>
    <row r="48" spans="1:16">
      <c r="A48" s="162" t="s">
        <v>308</v>
      </c>
      <c r="B48" s="637" t="s">
        <v>332</v>
      </c>
      <c r="C48" s="578"/>
      <c r="D48" s="578"/>
      <c r="E48" s="578"/>
      <c r="F48" s="578"/>
      <c r="G48" s="579"/>
      <c r="H48" s="149">
        <v>6.0000000000000001E-3</v>
      </c>
      <c r="I48" s="222">
        <f>TRUNC(I40*H48,2)</f>
        <v>10.02</v>
      </c>
      <c r="K48" s="198"/>
      <c r="L48" s="198"/>
      <c r="M48" s="198"/>
      <c r="O48" s="198"/>
      <c r="P48" s="201"/>
    </row>
    <row r="49" spans="1:11">
      <c r="A49" s="162" t="s">
        <v>333</v>
      </c>
      <c r="B49" s="637" t="s">
        <v>334</v>
      </c>
      <c r="C49" s="578"/>
      <c r="D49" s="578"/>
      <c r="E49" s="578"/>
      <c r="F49" s="578"/>
      <c r="G49" s="579"/>
      <c r="H49" s="149">
        <v>2E-3</v>
      </c>
      <c r="I49" s="222">
        <f>TRUNC(I40*H49,2)</f>
        <v>3.34</v>
      </c>
    </row>
    <row r="50" spans="1:11">
      <c r="A50" s="163" t="s">
        <v>335</v>
      </c>
      <c r="B50" s="577" t="s">
        <v>336</v>
      </c>
      <c r="C50" s="578"/>
      <c r="D50" s="578"/>
      <c r="E50" s="578"/>
      <c r="F50" s="578"/>
      <c r="G50" s="579"/>
      <c r="H50" s="219">
        <v>0.08</v>
      </c>
      <c r="I50" s="226">
        <f>TRUNC(I40*H50,2)</f>
        <v>133.62</v>
      </c>
    </row>
    <row r="51" spans="1:11">
      <c r="A51" s="650" t="s">
        <v>337</v>
      </c>
      <c r="B51" s="651"/>
      <c r="C51" s="651"/>
      <c r="D51" s="651"/>
      <c r="E51" s="651"/>
      <c r="F51" s="651"/>
      <c r="G51" s="652"/>
      <c r="H51" s="156">
        <f>SUM(H43:H50)</f>
        <v>0.37400600000000006</v>
      </c>
      <c r="I51" s="157">
        <f>SUM(I43:I50)</f>
        <v>624.68999999999994</v>
      </c>
    </row>
    <row r="52" spans="1:11" ht="76.5" customHeight="1">
      <c r="A52" s="647" t="s">
        <v>338</v>
      </c>
      <c r="B52" s="648"/>
      <c r="C52" s="648"/>
      <c r="D52" s="648"/>
      <c r="E52" s="648"/>
      <c r="F52" s="648"/>
      <c r="G52" s="648"/>
      <c r="H52" s="648"/>
      <c r="I52" s="649"/>
    </row>
    <row r="53" spans="1:11">
      <c r="A53" s="653" t="s">
        <v>339</v>
      </c>
      <c r="B53" s="654"/>
      <c r="C53" s="654"/>
      <c r="D53" s="654"/>
      <c r="E53" s="654"/>
      <c r="F53" s="654"/>
      <c r="G53" s="654"/>
      <c r="H53" s="654"/>
      <c r="I53" s="654"/>
    </row>
    <row r="54" spans="1:11">
      <c r="A54" s="164" t="s">
        <v>340</v>
      </c>
      <c r="B54" s="655" t="s">
        <v>341</v>
      </c>
      <c r="C54" s="656"/>
      <c r="D54" s="656"/>
      <c r="E54" s="656"/>
      <c r="F54" s="656"/>
      <c r="G54" s="656"/>
      <c r="H54" s="657"/>
      <c r="I54" s="165" t="s">
        <v>300</v>
      </c>
    </row>
    <row r="55" spans="1:11" ht="12.75" customHeight="1">
      <c r="A55" s="13" t="s">
        <v>277</v>
      </c>
      <c r="B55" s="658" t="s">
        <v>342</v>
      </c>
      <c r="C55" s="659"/>
      <c r="D55" s="659"/>
      <c r="E55" s="659"/>
      <c r="F55" s="659"/>
      <c r="G55" s="659"/>
      <c r="H55" s="660"/>
      <c r="I55" s="166">
        <f>TRUNC(('BASE-Tarifas de Passagens'!F6*2*22)-(I23*H58),2)</f>
        <v>99.2</v>
      </c>
      <c r="J55" s="200"/>
    </row>
    <row r="56" spans="1:11" ht="12.75" customHeight="1">
      <c r="A56" s="13"/>
      <c r="B56" s="661" t="s">
        <v>343</v>
      </c>
      <c r="C56" s="662"/>
      <c r="D56" s="662"/>
      <c r="E56" s="662"/>
      <c r="F56" s="662"/>
      <c r="G56" s="663"/>
      <c r="H56" s="197">
        <f>'BASE-Tarifas de Passagens'!F6</f>
        <v>4.3</v>
      </c>
      <c r="I56" s="148" t="s">
        <v>344</v>
      </c>
    </row>
    <row r="57" spans="1:11" ht="12.75" customHeight="1">
      <c r="A57" s="16"/>
      <c r="B57" s="661" t="s">
        <v>345</v>
      </c>
      <c r="C57" s="662"/>
      <c r="D57" s="662"/>
      <c r="E57" s="662"/>
      <c r="F57" s="662"/>
      <c r="G57" s="663"/>
      <c r="H57" s="227">
        <v>44</v>
      </c>
      <c r="I57" s="167" t="s">
        <v>344</v>
      </c>
    </row>
    <row r="58" spans="1:11" ht="12.75" customHeight="1">
      <c r="A58" s="13"/>
      <c r="B58" s="661" t="s">
        <v>346</v>
      </c>
      <c r="C58" s="662"/>
      <c r="D58" s="662"/>
      <c r="E58" s="662"/>
      <c r="F58" s="662"/>
      <c r="G58" s="663"/>
      <c r="H58" s="228">
        <v>0.06</v>
      </c>
      <c r="I58" s="148"/>
    </row>
    <row r="59" spans="1:11" ht="30.75" customHeight="1">
      <c r="A59" s="13" t="s">
        <v>280</v>
      </c>
      <c r="B59" s="672" t="s">
        <v>347</v>
      </c>
      <c r="C59" s="584"/>
      <c r="D59" s="584"/>
      <c r="E59" s="584"/>
      <c r="F59" s="584"/>
      <c r="G59" s="584"/>
      <c r="H59" s="9"/>
      <c r="I59" s="148">
        <f>'BASE-APR VR'!G24</f>
        <v>391.6</v>
      </c>
      <c r="J59" s="200"/>
      <c r="K59" s="202"/>
    </row>
    <row r="60" spans="1:11" ht="12.75" customHeight="1">
      <c r="A60" s="13" t="s">
        <v>282</v>
      </c>
      <c r="B60" s="672" t="s">
        <v>348</v>
      </c>
      <c r="C60" s="584"/>
      <c r="D60" s="584"/>
      <c r="E60" s="584"/>
      <c r="F60" s="584"/>
      <c r="G60" s="584"/>
      <c r="H60" s="64"/>
      <c r="I60" s="148">
        <v>16</v>
      </c>
      <c r="J60" s="202"/>
    </row>
    <row r="61" spans="1:11" ht="12.75" customHeight="1">
      <c r="A61" s="13" t="s">
        <v>306</v>
      </c>
      <c r="B61" s="672" t="s">
        <v>349</v>
      </c>
      <c r="C61" s="584"/>
      <c r="D61" s="584"/>
      <c r="E61" s="584"/>
      <c r="F61" s="584"/>
      <c r="G61" s="584"/>
      <c r="H61" s="64"/>
      <c r="I61" s="166">
        <v>2.54</v>
      </c>
    </row>
    <row r="62" spans="1:11">
      <c r="A62" s="168"/>
      <c r="B62" s="623" t="s">
        <v>337</v>
      </c>
      <c r="C62" s="624"/>
      <c r="D62" s="624"/>
      <c r="E62" s="624"/>
      <c r="F62" s="624"/>
      <c r="G62" s="624"/>
      <c r="H62" s="625"/>
      <c r="I62" s="157">
        <f>SUM(I55:I61)</f>
        <v>509.34000000000003</v>
      </c>
    </row>
    <row r="63" spans="1:11" ht="54.75" customHeight="1">
      <c r="A63" s="673" t="s">
        <v>350</v>
      </c>
      <c r="B63" s="674"/>
      <c r="C63" s="674"/>
      <c r="D63" s="674"/>
      <c r="E63" s="674"/>
      <c r="F63" s="674"/>
      <c r="G63" s="674"/>
      <c r="H63" s="674"/>
      <c r="I63" s="675"/>
    </row>
    <row r="64" spans="1:11">
      <c r="A64" s="644" t="s">
        <v>351</v>
      </c>
      <c r="B64" s="645"/>
      <c r="C64" s="645"/>
      <c r="D64" s="645"/>
      <c r="E64" s="645"/>
      <c r="F64" s="645"/>
      <c r="G64" s="645"/>
      <c r="H64" s="645"/>
      <c r="I64" s="646"/>
    </row>
    <row r="65" spans="1:9">
      <c r="A65" s="169">
        <v>2</v>
      </c>
      <c r="B65" s="669" t="s">
        <v>352</v>
      </c>
      <c r="C65" s="670"/>
      <c r="D65" s="670"/>
      <c r="E65" s="670"/>
      <c r="F65" s="670"/>
      <c r="G65" s="670"/>
      <c r="H65" s="671"/>
      <c r="I65" s="170" t="s">
        <v>300</v>
      </c>
    </row>
    <row r="66" spans="1:9">
      <c r="A66" s="13" t="s">
        <v>312</v>
      </c>
      <c r="B66" s="577" t="s">
        <v>313</v>
      </c>
      <c r="C66" s="578"/>
      <c r="D66" s="578"/>
      <c r="E66" s="578"/>
      <c r="F66" s="578"/>
      <c r="G66" s="578"/>
      <c r="H66" s="579"/>
      <c r="I66" s="148">
        <f>I36</f>
        <v>170.37</v>
      </c>
    </row>
    <row r="67" spans="1:9">
      <c r="A67" s="13" t="s">
        <v>323</v>
      </c>
      <c r="B67" s="577" t="s">
        <v>324</v>
      </c>
      <c r="C67" s="578"/>
      <c r="D67" s="578"/>
      <c r="E67" s="578"/>
      <c r="F67" s="578"/>
      <c r="G67" s="578"/>
      <c r="H67" s="579"/>
      <c r="I67" s="148">
        <f>I51</f>
        <v>624.68999999999994</v>
      </c>
    </row>
    <row r="68" spans="1:9">
      <c r="A68" s="13" t="s">
        <v>340</v>
      </c>
      <c r="B68" s="577" t="s">
        <v>341</v>
      </c>
      <c r="C68" s="578"/>
      <c r="D68" s="578"/>
      <c r="E68" s="578"/>
      <c r="F68" s="578"/>
      <c r="G68" s="578"/>
      <c r="H68" s="579"/>
      <c r="I68" s="148">
        <f>I62</f>
        <v>509.34000000000003</v>
      </c>
    </row>
    <row r="69" spans="1:9">
      <c r="A69" s="623" t="s">
        <v>110</v>
      </c>
      <c r="B69" s="624"/>
      <c r="C69" s="624"/>
      <c r="D69" s="624"/>
      <c r="E69" s="624"/>
      <c r="F69" s="624"/>
      <c r="G69" s="624"/>
      <c r="H69" s="625"/>
      <c r="I69" s="157">
        <f>SUM(I66:I68)</f>
        <v>1304.4000000000001</v>
      </c>
    </row>
    <row r="70" spans="1:9">
      <c r="A70" s="603"/>
      <c r="B70" s="604"/>
      <c r="C70" s="604"/>
      <c r="D70" s="604"/>
      <c r="E70" s="604"/>
      <c r="F70" s="604"/>
      <c r="G70" s="604"/>
      <c r="H70" s="604"/>
      <c r="I70" s="605"/>
    </row>
    <row r="71" spans="1:9">
      <c r="A71" s="644" t="s">
        <v>353</v>
      </c>
      <c r="B71" s="645"/>
      <c r="C71" s="645"/>
      <c r="D71" s="645"/>
      <c r="E71" s="645"/>
      <c r="F71" s="645"/>
      <c r="G71" s="645"/>
      <c r="H71" s="645"/>
      <c r="I71" s="646"/>
    </row>
    <row r="72" spans="1:9" ht="26.4">
      <c r="A72" s="146">
        <v>3</v>
      </c>
      <c r="B72" s="589" t="s">
        <v>354</v>
      </c>
      <c r="C72" s="590"/>
      <c r="D72" s="590"/>
      <c r="E72" s="590"/>
      <c r="F72" s="590"/>
      <c r="G72" s="591"/>
      <c r="H72" s="146" t="s">
        <v>355</v>
      </c>
      <c r="I72" s="147" t="s">
        <v>300</v>
      </c>
    </row>
    <row r="73" spans="1:9" ht="12.75" customHeight="1">
      <c r="A73" s="13" t="s">
        <v>277</v>
      </c>
      <c r="B73" s="672" t="s">
        <v>356</v>
      </c>
      <c r="C73" s="584"/>
      <c r="D73" s="584"/>
      <c r="E73" s="584"/>
      <c r="F73" s="584"/>
      <c r="G73" s="584"/>
      <c r="H73" s="171">
        <v>4.5999999999999999E-3</v>
      </c>
      <c r="I73" s="222">
        <f>($I$30*H73)</f>
        <v>6.8999999999999995</v>
      </c>
    </row>
    <row r="74" spans="1:9" ht="12.75" customHeight="1">
      <c r="A74" s="15" t="s">
        <v>280</v>
      </c>
      <c r="B74" s="676" t="s">
        <v>357</v>
      </c>
      <c r="C74" s="677"/>
      <c r="D74" s="677"/>
      <c r="E74" s="677"/>
      <c r="F74" s="677"/>
      <c r="G74" s="677"/>
      <c r="H74" s="149">
        <v>4.0000000000000002E-4</v>
      </c>
      <c r="I74" s="222">
        <f t="shared" ref="I74:I75" si="0">($I$30*H74)</f>
        <v>0.6</v>
      </c>
    </row>
    <row r="75" spans="1:9" ht="31.5" customHeight="1">
      <c r="A75" s="13" t="s">
        <v>282</v>
      </c>
      <c r="B75" s="720" t="s">
        <v>358</v>
      </c>
      <c r="C75" s="584"/>
      <c r="D75" s="584"/>
      <c r="E75" s="584"/>
      <c r="F75" s="584"/>
      <c r="G75" s="584"/>
      <c r="H75" s="221">
        <v>1.9400000000000001E-2</v>
      </c>
      <c r="I75" s="222">
        <f t="shared" si="0"/>
        <v>29.1</v>
      </c>
    </row>
    <row r="76" spans="1:9" ht="31.5" customHeight="1">
      <c r="A76" s="15" t="s">
        <v>284</v>
      </c>
      <c r="B76" s="672" t="s">
        <v>359</v>
      </c>
      <c r="C76" s="584"/>
      <c r="D76" s="584"/>
      <c r="E76" s="584"/>
      <c r="F76" s="584"/>
      <c r="G76" s="584"/>
      <c r="H76" s="171">
        <v>7.1000000000000004E-3</v>
      </c>
      <c r="I76" s="222">
        <f>($I$30*H76)</f>
        <v>10.65</v>
      </c>
    </row>
    <row r="77" spans="1:9" ht="54" customHeight="1">
      <c r="A77" s="13" t="s">
        <v>306</v>
      </c>
      <c r="B77" s="672" t="s">
        <v>360</v>
      </c>
      <c r="C77" s="584"/>
      <c r="D77" s="584"/>
      <c r="E77" s="584"/>
      <c r="F77" s="584"/>
      <c r="G77" s="584"/>
      <c r="H77" s="171">
        <v>0.04</v>
      </c>
      <c r="I77" s="222">
        <f>($I$30*H77)</f>
        <v>60</v>
      </c>
    </row>
    <row r="78" spans="1:9">
      <c r="A78" s="623" t="s">
        <v>110</v>
      </c>
      <c r="B78" s="624"/>
      <c r="C78" s="624"/>
      <c r="D78" s="624"/>
      <c r="E78" s="624"/>
      <c r="F78" s="624"/>
      <c r="G78" s="624"/>
      <c r="H78" s="625"/>
      <c r="I78" s="157">
        <f>SUM(I73:I77)</f>
        <v>107.25</v>
      </c>
    </row>
    <row r="79" spans="1:9">
      <c r="A79" s="683" t="s">
        <v>361</v>
      </c>
      <c r="B79" s="684"/>
      <c r="C79" s="684"/>
      <c r="D79" s="684"/>
      <c r="E79" s="684"/>
      <c r="F79" s="684"/>
      <c r="G79" s="684"/>
      <c r="H79" s="172" t="s">
        <v>320</v>
      </c>
      <c r="I79" s="173">
        <f>I30</f>
        <v>1500</v>
      </c>
    </row>
    <row r="80" spans="1:9" ht="69" customHeight="1">
      <c r="A80" s="684"/>
      <c r="B80" s="684"/>
      <c r="C80" s="684"/>
      <c r="D80" s="684"/>
      <c r="E80" s="684"/>
      <c r="F80" s="684"/>
      <c r="G80" s="684"/>
      <c r="H80" s="242" t="s">
        <v>362</v>
      </c>
      <c r="I80" s="173">
        <f>I36+I51+I60+I61</f>
        <v>813.59999999999991</v>
      </c>
    </row>
    <row r="81" spans="1:12">
      <c r="A81" s="684"/>
      <c r="B81" s="684"/>
      <c r="C81" s="684"/>
      <c r="D81" s="684"/>
      <c r="E81" s="684"/>
      <c r="F81" s="684"/>
      <c r="G81" s="684"/>
      <c r="H81" s="172" t="s">
        <v>363</v>
      </c>
      <c r="I81" s="173">
        <f>I78</f>
        <v>107.25</v>
      </c>
    </row>
    <row r="82" spans="1:12">
      <c r="A82" s="684"/>
      <c r="B82" s="684"/>
      <c r="C82" s="684"/>
      <c r="D82" s="684"/>
      <c r="E82" s="684"/>
      <c r="F82" s="684"/>
      <c r="G82" s="684"/>
      <c r="H82" s="174" t="s">
        <v>110</v>
      </c>
      <c r="I82" s="175">
        <f>SUM(I79:I81)</f>
        <v>2420.85</v>
      </c>
    </row>
    <row r="83" spans="1:12">
      <c r="A83" s="606" t="s">
        <v>364</v>
      </c>
      <c r="B83" s="607"/>
      <c r="C83" s="607"/>
      <c r="D83" s="607"/>
      <c r="E83" s="607"/>
      <c r="F83" s="607"/>
      <c r="G83" s="607"/>
      <c r="H83" s="607"/>
      <c r="I83" s="608"/>
    </row>
    <row r="84" spans="1:12" ht="60.75" customHeight="1">
      <c r="A84" s="685" t="s">
        <v>365</v>
      </c>
      <c r="B84" s="686"/>
      <c r="C84" s="686"/>
      <c r="D84" s="686"/>
      <c r="E84" s="686"/>
      <c r="F84" s="686"/>
      <c r="G84" s="686"/>
      <c r="H84" s="686"/>
      <c r="I84" s="687"/>
    </row>
    <row r="85" spans="1:12">
      <c r="A85" s="176" t="s">
        <v>366</v>
      </c>
      <c r="B85" s="654" t="s">
        <v>367</v>
      </c>
      <c r="C85" s="654"/>
      <c r="D85" s="654"/>
      <c r="E85" s="654"/>
      <c r="F85" s="654"/>
      <c r="G85" s="654"/>
      <c r="H85" s="146" t="s">
        <v>314</v>
      </c>
      <c r="I85" s="177" t="s">
        <v>300</v>
      </c>
    </row>
    <row r="86" spans="1:12" ht="25.5" customHeight="1">
      <c r="A86" s="13" t="s">
        <v>277</v>
      </c>
      <c r="B86" s="678" t="s">
        <v>368</v>
      </c>
      <c r="C86" s="679"/>
      <c r="D86" s="679"/>
      <c r="E86" s="679"/>
      <c r="F86" s="679"/>
      <c r="G86" s="679"/>
      <c r="H86" s="229">
        <v>9.0749999999999997E-2</v>
      </c>
      <c r="I86" s="148">
        <f>H86*$I$82</f>
        <v>219.69213749999997</v>
      </c>
      <c r="K86" s="203"/>
      <c r="L86" s="198"/>
    </row>
    <row r="87" spans="1:12" ht="39.75" customHeight="1">
      <c r="A87" s="13" t="s">
        <v>280</v>
      </c>
      <c r="B87" s="678" t="s">
        <v>369</v>
      </c>
      <c r="C87" s="679"/>
      <c r="D87" s="679"/>
      <c r="E87" s="679"/>
      <c r="F87" s="679"/>
      <c r="G87" s="679"/>
      <c r="H87" s="149">
        <v>1.6299999999999999E-2</v>
      </c>
      <c r="I87" s="148">
        <f t="shared" ref="I87:I89" si="1">H87*$I$82</f>
        <v>39.459854999999997</v>
      </c>
    </row>
    <row r="88" spans="1:12" ht="35.25" customHeight="1">
      <c r="A88" s="13" t="s">
        <v>282</v>
      </c>
      <c r="B88" s="678" t="s">
        <v>370</v>
      </c>
      <c r="C88" s="679"/>
      <c r="D88" s="679"/>
      <c r="E88" s="679"/>
      <c r="F88" s="679"/>
      <c r="G88" s="679"/>
      <c r="H88" s="171">
        <v>2.0000000000000001E-4</v>
      </c>
      <c r="I88" s="148">
        <f t="shared" si="1"/>
        <v>0.48416999999999999</v>
      </c>
    </row>
    <row r="89" spans="1:12" ht="50.25" customHeight="1">
      <c r="A89" s="13" t="s">
        <v>284</v>
      </c>
      <c r="B89" s="678" t="s">
        <v>371</v>
      </c>
      <c r="C89" s="679"/>
      <c r="D89" s="679"/>
      <c r="E89" s="679"/>
      <c r="F89" s="679"/>
      <c r="G89" s="679"/>
      <c r="H89" s="149">
        <v>3.3E-3</v>
      </c>
      <c r="I89" s="148">
        <f t="shared" si="1"/>
        <v>7.9888049999999993</v>
      </c>
      <c r="K89" s="230"/>
    </row>
    <row r="90" spans="1:12" ht="45" customHeight="1">
      <c r="A90" s="13" t="s">
        <v>306</v>
      </c>
      <c r="B90" s="678" t="s">
        <v>372</v>
      </c>
      <c r="C90" s="679"/>
      <c r="D90" s="679"/>
      <c r="E90" s="679"/>
      <c r="F90" s="679"/>
      <c r="G90" s="679"/>
      <c r="H90" s="178">
        <v>5.5000000000000003E-4</v>
      </c>
      <c r="I90" s="148">
        <f>H90*$I$82</f>
        <v>1.3314675</v>
      </c>
    </row>
    <row r="91" spans="1:12">
      <c r="A91" s="14" t="s">
        <v>308</v>
      </c>
      <c r="B91" s="677" t="s">
        <v>373</v>
      </c>
      <c r="C91" s="677"/>
      <c r="D91" s="677"/>
      <c r="E91" s="677"/>
      <c r="F91" s="677"/>
      <c r="G91" s="677"/>
      <c r="H91" s="149" t="s">
        <v>374</v>
      </c>
      <c r="I91" s="148"/>
    </row>
    <row r="92" spans="1:12">
      <c r="A92" s="623" t="s">
        <v>337</v>
      </c>
      <c r="B92" s="624"/>
      <c r="C92" s="624"/>
      <c r="D92" s="624"/>
      <c r="E92" s="624"/>
      <c r="F92" s="624"/>
      <c r="G92" s="624"/>
      <c r="H92" s="625"/>
      <c r="I92" s="205">
        <f>SUM(I86:I91)</f>
        <v>268.95643499999994</v>
      </c>
    </row>
    <row r="93" spans="1:12">
      <c r="A93" s="176" t="s">
        <v>375</v>
      </c>
      <c r="B93" s="680" t="s">
        <v>376</v>
      </c>
      <c r="C93" s="681"/>
      <c r="D93" s="681"/>
      <c r="E93" s="681"/>
      <c r="F93" s="681"/>
      <c r="G93" s="681"/>
      <c r="H93" s="682"/>
      <c r="I93" s="177" t="s">
        <v>300</v>
      </c>
    </row>
    <row r="94" spans="1:12">
      <c r="A94" s="13" t="s">
        <v>277</v>
      </c>
      <c r="B94" s="584" t="s">
        <v>377</v>
      </c>
      <c r="C94" s="584"/>
      <c r="D94" s="584"/>
      <c r="E94" s="584"/>
      <c r="F94" s="584"/>
      <c r="G94" s="584"/>
      <c r="H94" s="179"/>
      <c r="I94" s="180">
        <v>0</v>
      </c>
    </row>
    <row r="95" spans="1:12">
      <c r="A95" s="623" t="s">
        <v>337</v>
      </c>
      <c r="B95" s="624"/>
      <c r="C95" s="624"/>
      <c r="D95" s="624"/>
      <c r="E95" s="624"/>
      <c r="F95" s="624"/>
      <c r="G95" s="624"/>
      <c r="H95" s="625"/>
      <c r="I95" s="181">
        <f>SUM(I94:I94)</f>
        <v>0</v>
      </c>
    </row>
    <row r="96" spans="1:12">
      <c r="A96" s="644" t="s">
        <v>378</v>
      </c>
      <c r="B96" s="645"/>
      <c r="C96" s="645"/>
      <c r="D96" s="645"/>
      <c r="E96" s="645"/>
      <c r="F96" s="645"/>
      <c r="G96" s="645"/>
      <c r="H96" s="645"/>
      <c r="I96" s="646"/>
    </row>
    <row r="97" spans="1:9">
      <c r="A97" s="152">
        <v>4</v>
      </c>
      <c r="B97" s="589" t="s">
        <v>379</v>
      </c>
      <c r="C97" s="590"/>
      <c r="D97" s="590"/>
      <c r="E97" s="590"/>
      <c r="F97" s="590"/>
      <c r="G97" s="590"/>
      <c r="H97" s="591"/>
      <c r="I97" s="154" t="s">
        <v>300</v>
      </c>
    </row>
    <row r="98" spans="1:9">
      <c r="A98" s="13" t="s">
        <v>366</v>
      </c>
      <c r="B98" s="584" t="s">
        <v>367</v>
      </c>
      <c r="C98" s="584"/>
      <c r="D98" s="584"/>
      <c r="E98" s="584"/>
      <c r="F98" s="584"/>
      <c r="G98" s="584"/>
      <c r="H98" s="182"/>
      <c r="I98" s="148">
        <f>I92</f>
        <v>268.95643499999994</v>
      </c>
    </row>
    <row r="99" spans="1:9">
      <c r="A99" s="13" t="s">
        <v>375</v>
      </c>
      <c r="B99" s="584" t="s">
        <v>376</v>
      </c>
      <c r="C99" s="584"/>
      <c r="D99" s="584"/>
      <c r="E99" s="584"/>
      <c r="F99" s="584"/>
      <c r="G99" s="584"/>
      <c r="H99" s="182"/>
      <c r="I99" s="148">
        <f>I95</f>
        <v>0</v>
      </c>
    </row>
    <row r="100" spans="1:9">
      <c r="A100" s="623" t="s">
        <v>110</v>
      </c>
      <c r="B100" s="624"/>
      <c r="C100" s="624"/>
      <c r="D100" s="624"/>
      <c r="E100" s="624"/>
      <c r="F100" s="624"/>
      <c r="G100" s="624"/>
      <c r="H100" s="625"/>
      <c r="I100" s="157">
        <f>SUM(I98:I99)</f>
        <v>268.95643499999994</v>
      </c>
    </row>
    <row r="101" spans="1:9">
      <c r="A101" s="603"/>
      <c r="B101" s="604"/>
      <c r="C101" s="604"/>
      <c r="D101" s="604"/>
      <c r="E101" s="604"/>
      <c r="F101" s="604"/>
      <c r="G101" s="604"/>
      <c r="H101" s="604"/>
      <c r="I101" s="605"/>
    </row>
    <row r="102" spans="1:9">
      <c r="A102" s="606" t="s">
        <v>380</v>
      </c>
      <c r="B102" s="607"/>
      <c r="C102" s="607"/>
      <c r="D102" s="607"/>
      <c r="E102" s="607"/>
      <c r="F102" s="607"/>
      <c r="G102" s="607"/>
      <c r="H102" s="607"/>
      <c r="I102" s="608"/>
    </row>
    <row r="103" spans="1:9">
      <c r="A103" s="152">
        <v>5</v>
      </c>
      <c r="B103" s="589" t="s">
        <v>381</v>
      </c>
      <c r="C103" s="590"/>
      <c r="D103" s="590"/>
      <c r="E103" s="590"/>
      <c r="F103" s="590"/>
      <c r="G103" s="590"/>
      <c r="H103" s="591"/>
      <c r="I103" s="154" t="s">
        <v>300</v>
      </c>
    </row>
    <row r="104" spans="1:9">
      <c r="A104" s="13" t="s">
        <v>277</v>
      </c>
      <c r="B104" s="673" t="s">
        <v>382</v>
      </c>
      <c r="C104" s="688"/>
      <c r="D104" s="688"/>
      <c r="E104" s="688"/>
      <c r="F104" s="688"/>
      <c r="G104" s="688"/>
      <c r="H104" s="689"/>
      <c r="I104" s="199">
        <f>'BASE-APR VR'!D46</f>
        <v>40.9375</v>
      </c>
    </row>
    <row r="105" spans="1:9">
      <c r="A105" s="13" t="s">
        <v>280</v>
      </c>
      <c r="B105" s="673" t="s">
        <v>383</v>
      </c>
      <c r="C105" s="688"/>
      <c r="D105" s="688"/>
      <c r="E105" s="688"/>
      <c r="F105" s="688"/>
      <c r="G105" s="688"/>
      <c r="H105" s="689"/>
      <c r="I105" s="237">
        <f>'BASE-APR VR'!F34</f>
        <v>746.77974999999992</v>
      </c>
    </row>
    <row r="106" spans="1:9">
      <c r="A106" s="13" t="s">
        <v>282</v>
      </c>
      <c r="B106" s="690" t="s">
        <v>384</v>
      </c>
      <c r="C106" s="674"/>
      <c r="D106" s="674"/>
      <c r="E106" s="674"/>
      <c r="F106" s="674"/>
      <c r="G106" s="674"/>
      <c r="H106" s="675"/>
      <c r="I106" s="237">
        <f>'BASE-APR VR'!F40</f>
        <v>8.479866666666668</v>
      </c>
    </row>
    <row r="107" spans="1:9">
      <c r="A107" s="623" t="s">
        <v>110</v>
      </c>
      <c r="B107" s="624"/>
      <c r="C107" s="624"/>
      <c r="D107" s="624"/>
      <c r="E107" s="624"/>
      <c r="F107" s="624"/>
      <c r="G107" s="624"/>
      <c r="H107" s="625"/>
      <c r="I107" s="183">
        <f>ROUND(SUM(I104:I106),2)</f>
        <v>796.2</v>
      </c>
    </row>
    <row r="108" spans="1:9">
      <c r="A108" s="727" t="s">
        <v>385</v>
      </c>
      <c r="B108" s="728"/>
      <c r="C108" s="728"/>
      <c r="D108" s="728"/>
      <c r="E108" s="728"/>
      <c r="F108" s="728"/>
      <c r="G108" s="729"/>
      <c r="H108" s="172" t="s">
        <v>320</v>
      </c>
      <c r="I108" s="184">
        <f>I30</f>
        <v>1500</v>
      </c>
    </row>
    <row r="109" spans="1:9">
      <c r="A109" s="730"/>
      <c r="B109" s="731"/>
      <c r="C109" s="731"/>
      <c r="D109" s="731"/>
      <c r="E109" s="731"/>
      <c r="F109" s="731"/>
      <c r="G109" s="732"/>
      <c r="H109" s="172" t="s">
        <v>386</v>
      </c>
      <c r="I109" s="184">
        <f>I69</f>
        <v>1304.4000000000001</v>
      </c>
    </row>
    <row r="110" spans="1:9">
      <c r="A110" s="730"/>
      <c r="B110" s="731"/>
      <c r="C110" s="731"/>
      <c r="D110" s="731"/>
      <c r="E110" s="731"/>
      <c r="F110" s="731"/>
      <c r="G110" s="732"/>
      <c r="H110" s="172" t="s">
        <v>363</v>
      </c>
      <c r="I110" s="184">
        <f>I78</f>
        <v>107.25</v>
      </c>
    </row>
    <row r="111" spans="1:9">
      <c r="A111" s="730"/>
      <c r="B111" s="731"/>
      <c r="C111" s="731"/>
      <c r="D111" s="731"/>
      <c r="E111" s="731"/>
      <c r="F111" s="731"/>
      <c r="G111" s="732"/>
      <c r="H111" s="172" t="s">
        <v>387</v>
      </c>
      <c r="I111" s="233">
        <f>I100</f>
        <v>268.95643499999994</v>
      </c>
    </row>
    <row r="112" spans="1:9">
      <c r="A112" s="730"/>
      <c r="B112" s="731"/>
      <c r="C112" s="731"/>
      <c r="D112" s="731"/>
      <c r="E112" s="731"/>
      <c r="F112" s="731"/>
      <c r="G112" s="732"/>
      <c r="H112" s="232" t="s">
        <v>388</v>
      </c>
      <c r="I112" s="231">
        <f>I107</f>
        <v>796.2</v>
      </c>
    </row>
    <row r="113" spans="1:9">
      <c r="A113" s="733"/>
      <c r="B113" s="734"/>
      <c r="C113" s="734"/>
      <c r="D113" s="734"/>
      <c r="E113" s="734"/>
      <c r="F113" s="734"/>
      <c r="G113" s="735"/>
      <c r="H113" s="232" t="s">
        <v>110</v>
      </c>
      <c r="I113" s="231">
        <f>SUM(I108:I112)</f>
        <v>3976.8064350000004</v>
      </c>
    </row>
    <row r="114" spans="1:9">
      <c r="A114" s="736" t="s">
        <v>389</v>
      </c>
      <c r="B114" s="736"/>
      <c r="C114" s="736"/>
      <c r="D114" s="736"/>
      <c r="E114" s="736"/>
      <c r="F114" s="736"/>
      <c r="G114" s="736"/>
      <c r="H114" s="736"/>
      <c r="I114" s="737"/>
    </row>
    <row r="115" spans="1:9">
      <c r="A115" s="152">
        <v>6</v>
      </c>
      <c r="B115" s="680" t="s">
        <v>390</v>
      </c>
      <c r="C115" s="681"/>
      <c r="D115" s="681"/>
      <c r="E115" s="681"/>
      <c r="F115" s="681"/>
      <c r="G115" s="682"/>
      <c r="H115" s="153" t="s">
        <v>299</v>
      </c>
      <c r="I115" s="154" t="s">
        <v>300</v>
      </c>
    </row>
    <row r="116" spans="1:9">
      <c r="A116" s="13" t="s">
        <v>277</v>
      </c>
      <c r="B116" s="691" t="s">
        <v>391</v>
      </c>
      <c r="C116" s="659"/>
      <c r="D116" s="659"/>
      <c r="E116" s="659"/>
      <c r="F116" s="659"/>
      <c r="G116" s="660"/>
      <c r="H116" s="149">
        <f>'1-Servente Goiânia SRA'!H116</f>
        <v>0.03</v>
      </c>
      <c r="I116" s="222">
        <f>I113*H116</f>
        <v>119.30419305000001</v>
      </c>
    </row>
    <row r="117" spans="1:9">
      <c r="A117" s="13" t="s">
        <v>280</v>
      </c>
      <c r="B117" s="691" t="s">
        <v>392</v>
      </c>
      <c r="C117" s="659"/>
      <c r="D117" s="659"/>
      <c r="E117" s="659"/>
      <c r="F117" s="659"/>
      <c r="G117" s="660"/>
      <c r="H117" s="149">
        <f>'1-Servente Goiânia SRA'!H117</f>
        <v>2.5790400000000002E-2</v>
      </c>
      <c r="I117" s="222">
        <f>(I113+I116)*H117</f>
        <v>105.64033154166074</v>
      </c>
    </row>
    <row r="118" spans="1:9">
      <c r="A118" s="13" t="s">
        <v>282</v>
      </c>
      <c r="B118" s="658" t="s">
        <v>393</v>
      </c>
      <c r="C118" s="659"/>
      <c r="D118" s="659"/>
      <c r="E118" s="659"/>
      <c r="F118" s="659"/>
      <c r="G118" s="660"/>
      <c r="H118" s="185"/>
      <c r="I118" s="234"/>
    </row>
    <row r="119" spans="1:9">
      <c r="A119" s="70"/>
      <c r="B119" s="658" t="s">
        <v>394</v>
      </c>
      <c r="C119" s="659"/>
      <c r="D119" s="659"/>
      <c r="E119" s="659"/>
      <c r="F119" s="659"/>
      <c r="G119" s="660"/>
      <c r="H119" s="149" t="s">
        <v>344</v>
      </c>
      <c r="I119" s="222" t="s">
        <v>344</v>
      </c>
    </row>
    <row r="120" spans="1:9">
      <c r="A120" s="70"/>
      <c r="B120" s="637" t="s">
        <v>395</v>
      </c>
      <c r="C120" s="578"/>
      <c r="D120" s="578"/>
      <c r="E120" s="578"/>
      <c r="F120" s="578"/>
      <c r="G120" s="579"/>
      <c r="H120" s="149">
        <f>'1-Servente Goiânia SRA'!H120</f>
        <v>1.6500000000000001E-2</v>
      </c>
      <c r="I120" s="222">
        <f>(I113+I116+I117)/(1-H125)*H120</f>
        <v>80.850018464445981</v>
      </c>
    </row>
    <row r="121" spans="1:9">
      <c r="A121" s="70"/>
      <c r="B121" s="698" t="s">
        <v>396</v>
      </c>
      <c r="C121" s="578"/>
      <c r="D121" s="578"/>
      <c r="E121" s="578"/>
      <c r="F121" s="578"/>
      <c r="G121" s="579"/>
      <c r="H121" s="149">
        <f>'1-Servente Goiânia SRA'!H121</f>
        <v>7.5999999999999998E-2</v>
      </c>
      <c r="I121" s="222">
        <f>(I113+I116+I117)/(1-H125)*H121</f>
        <v>372.40008504835725</v>
      </c>
    </row>
    <row r="122" spans="1:9">
      <c r="A122" s="70"/>
      <c r="B122" s="698" t="s">
        <v>397</v>
      </c>
      <c r="C122" s="699"/>
      <c r="D122" s="699"/>
      <c r="E122" s="699"/>
      <c r="F122" s="699"/>
      <c r="G122" s="700"/>
      <c r="H122" s="217"/>
      <c r="I122" s="222"/>
    </row>
    <row r="123" spans="1:9">
      <c r="A123" s="70"/>
      <c r="B123" s="698" t="s">
        <v>398</v>
      </c>
      <c r="C123" s="699"/>
      <c r="D123" s="699"/>
      <c r="E123" s="699"/>
      <c r="F123" s="699"/>
      <c r="G123" s="700"/>
      <c r="H123" s="217"/>
      <c r="I123" s="222"/>
    </row>
    <row r="124" spans="1:9">
      <c r="A124" s="70"/>
      <c r="B124" s="637" t="s">
        <v>399</v>
      </c>
      <c r="C124" s="578"/>
      <c r="D124" s="578"/>
      <c r="E124" s="578"/>
      <c r="F124" s="578"/>
      <c r="G124" s="579"/>
      <c r="H124" s="235">
        <f>'BASE-Alíquotas ISS'!B2</f>
        <v>0.05</v>
      </c>
      <c r="I124" s="222">
        <f>(I113+I116+I117)/(1-H125)*H124</f>
        <v>245.00005595286663</v>
      </c>
    </row>
    <row r="125" spans="1:9" ht="14.25" customHeight="1">
      <c r="A125" s="580"/>
      <c r="B125" s="707"/>
      <c r="C125" s="707"/>
      <c r="D125" s="707"/>
      <c r="E125" s="707"/>
      <c r="F125" s="707"/>
      <c r="G125" s="581"/>
      <c r="H125" s="224">
        <f>SUM(H120:H124)</f>
        <v>0.14250000000000002</v>
      </c>
      <c r="I125" s="222"/>
    </row>
    <row r="126" spans="1:9">
      <c r="A126" s="623" t="s">
        <v>110</v>
      </c>
      <c r="B126" s="624"/>
      <c r="C126" s="624"/>
      <c r="D126" s="624"/>
      <c r="E126" s="624"/>
      <c r="F126" s="624"/>
      <c r="G126" s="624"/>
      <c r="H126" s="236">
        <f>SUM(H116,H117,H125)</f>
        <v>0.19829040000000003</v>
      </c>
      <c r="I126" s="223">
        <f>SUM(I116:I124)</f>
        <v>923.19468405733062</v>
      </c>
    </row>
    <row r="127" spans="1:9" ht="40.5" customHeight="1">
      <c r="A127" s="698" t="s">
        <v>400</v>
      </c>
      <c r="B127" s="593"/>
      <c r="C127" s="593"/>
      <c r="D127" s="593"/>
      <c r="E127" s="593"/>
      <c r="F127" s="593"/>
      <c r="G127" s="593"/>
      <c r="H127" s="721"/>
      <c r="I127" s="594"/>
    </row>
    <row r="128" spans="1:9">
      <c r="A128" s="722"/>
      <c r="B128" s="723"/>
      <c r="C128" s="723"/>
      <c r="D128" s="723"/>
      <c r="E128" s="723"/>
      <c r="F128" s="723"/>
      <c r="G128" s="723"/>
      <c r="H128" s="723"/>
      <c r="I128" s="723"/>
    </row>
    <row r="129" spans="1:9">
      <c r="A129" s="724" t="s">
        <v>401</v>
      </c>
      <c r="B129" s="725"/>
      <c r="C129" s="725"/>
      <c r="D129" s="725"/>
      <c r="E129" s="725"/>
      <c r="F129" s="725"/>
      <c r="G129" s="725"/>
      <c r="H129" s="725"/>
      <c r="I129" s="726"/>
    </row>
    <row r="130" spans="1:9">
      <c r="A130" s="589" t="s">
        <v>402</v>
      </c>
      <c r="B130" s="590"/>
      <c r="C130" s="590"/>
      <c r="D130" s="590"/>
      <c r="E130" s="590"/>
      <c r="F130" s="590"/>
      <c r="G130" s="590"/>
      <c r="H130" s="591"/>
      <c r="I130" s="161" t="s">
        <v>300</v>
      </c>
    </row>
    <row r="131" spans="1:9">
      <c r="A131" s="186" t="s">
        <v>277</v>
      </c>
      <c r="B131" s="577" t="s">
        <v>403</v>
      </c>
      <c r="C131" s="578"/>
      <c r="D131" s="578"/>
      <c r="E131" s="578"/>
      <c r="F131" s="578"/>
      <c r="G131" s="578"/>
      <c r="H131" s="579"/>
      <c r="I131" s="166">
        <f>I30</f>
        <v>1500</v>
      </c>
    </row>
    <row r="132" spans="1:9">
      <c r="A132" s="186" t="s">
        <v>280</v>
      </c>
      <c r="B132" s="577" t="s">
        <v>352</v>
      </c>
      <c r="C132" s="578"/>
      <c r="D132" s="578"/>
      <c r="E132" s="578"/>
      <c r="F132" s="578"/>
      <c r="G132" s="578"/>
      <c r="H132" s="579"/>
      <c r="I132" s="166">
        <f>I69</f>
        <v>1304.4000000000001</v>
      </c>
    </row>
    <row r="133" spans="1:9">
      <c r="A133" s="186" t="s">
        <v>282</v>
      </c>
      <c r="B133" s="577" t="s">
        <v>404</v>
      </c>
      <c r="C133" s="578"/>
      <c r="D133" s="578"/>
      <c r="E133" s="578"/>
      <c r="F133" s="578"/>
      <c r="G133" s="578"/>
      <c r="H133" s="579"/>
      <c r="I133" s="166">
        <f>I78</f>
        <v>107.25</v>
      </c>
    </row>
    <row r="134" spans="1:9">
      <c r="A134" s="186" t="s">
        <v>284</v>
      </c>
      <c r="B134" s="577" t="s">
        <v>379</v>
      </c>
      <c r="C134" s="578"/>
      <c r="D134" s="578"/>
      <c r="E134" s="578"/>
      <c r="F134" s="578"/>
      <c r="G134" s="578"/>
      <c r="H134" s="579"/>
      <c r="I134" s="166">
        <f>I100</f>
        <v>268.95643499999994</v>
      </c>
    </row>
    <row r="135" spans="1:9">
      <c r="A135" s="186" t="s">
        <v>306</v>
      </c>
      <c r="B135" s="577" t="s">
        <v>405</v>
      </c>
      <c r="C135" s="578"/>
      <c r="D135" s="578"/>
      <c r="E135" s="578"/>
      <c r="F135" s="578"/>
      <c r="G135" s="578"/>
      <c r="H135" s="579"/>
      <c r="I135" s="166">
        <f>I107</f>
        <v>796.2</v>
      </c>
    </row>
    <row r="136" spans="1:9">
      <c r="A136" s="695" t="s">
        <v>406</v>
      </c>
      <c r="B136" s="696"/>
      <c r="C136" s="696"/>
      <c r="D136" s="696"/>
      <c r="E136" s="696"/>
      <c r="F136" s="696"/>
      <c r="G136" s="696"/>
      <c r="H136" s="697"/>
      <c r="I136" s="187">
        <f>SUM(I131:I135)</f>
        <v>3976.8064350000004</v>
      </c>
    </row>
    <row r="137" spans="1:9">
      <c r="A137" s="186" t="s">
        <v>308</v>
      </c>
      <c r="B137" s="577" t="s">
        <v>407</v>
      </c>
      <c r="C137" s="578"/>
      <c r="D137" s="578"/>
      <c r="E137" s="578"/>
      <c r="F137" s="578"/>
      <c r="G137" s="578"/>
      <c r="H137" s="579"/>
      <c r="I137" s="188">
        <f>I126</f>
        <v>923.19468405733062</v>
      </c>
    </row>
    <row r="138" spans="1:9">
      <c r="A138" s="695" t="s">
        <v>408</v>
      </c>
      <c r="B138" s="696"/>
      <c r="C138" s="696"/>
      <c r="D138" s="696"/>
      <c r="E138" s="696"/>
      <c r="F138" s="696"/>
      <c r="G138" s="696"/>
      <c r="H138" s="697"/>
      <c r="I138" s="189">
        <f>SUM(I136+I137)</f>
        <v>4900.0011190573314</v>
      </c>
    </row>
    <row r="139" spans="1:9">
      <c r="A139" s="190"/>
      <c r="B139" s="190"/>
      <c r="C139" s="190"/>
      <c r="D139" s="190"/>
      <c r="E139" s="190"/>
      <c r="F139" s="190"/>
      <c r="G139" s="190"/>
      <c r="H139" s="190"/>
      <c r="I139" s="191"/>
    </row>
    <row r="140" spans="1:9">
      <c r="A140" s="190"/>
      <c r="B140" s="190"/>
      <c r="C140" s="190"/>
      <c r="D140" s="190"/>
      <c r="E140" s="190"/>
      <c r="F140" s="190"/>
      <c r="G140" s="190"/>
      <c r="H140" s="190"/>
      <c r="I140" s="191"/>
    </row>
    <row r="141" spans="1:9">
      <c r="A141" s="708" t="s">
        <v>409</v>
      </c>
      <c r="B141" s="709"/>
      <c r="C141" s="709"/>
      <c r="D141" s="709"/>
      <c r="E141" s="709"/>
      <c r="F141" s="710"/>
      <c r="I141" s="150"/>
    </row>
    <row r="142" spans="1:9" ht="39.6">
      <c r="A142" s="192" t="s">
        <v>410</v>
      </c>
      <c r="B142" s="204" t="s">
        <v>411</v>
      </c>
      <c r="C142" s="193" t="s">
        <v>412</v>
      </c>
      <c r="D142" s="711" t="s">
        <v>413</v>
      </c>
      <c r="E142" s="712"/>
      <c r="F142" s="713"/>
    </row>
    <row r="143" spans="1:9" ht="39.6">
      <c r="A143" s="256" t="s">
        <v>414</v>
      </c>
      <c r="B143" s="195">
        <f>I138</f>
        <v>4900.0011190573314</v>
      </c>
      <c r="C143" s="194">
        <v>2</v>
      </c>
      <c r="D143" s="714">
        <f>ROUND(SUM(B143*C143),1)</f>
        <v>9800</v>
      </c>
      <c r="E143" s="715"/>
      <c r="F143" s="716"/>
    </row>
    <row r="144" spans="1:9">
      <c r="A144" s="190"/>
      <c r="B144" s="190"/>
      <c r="C144" s="190"/>
      <c r="D144" s="190"/>
      <c r="E144" s="190"/>
      <c r="F144" s="190"/>
    </row>
    <row r="145" spans="1:6">
      <c r="A145" s="190"/>
      <c r="B145" s="190"/>
      <c r="C145" s="190"/>
      <c r="D145" s="190"/>
      <c r="E145" s="190"/>
      <c r="F145" s="190"/>
    </row>
    <row r="146" spans="1:6">
      <c r="A146" s="717" t="s">
        <v>415</v>
      </c>
      <c r="B146" s="718"/>
      <c r="C146" s="718"/>
      <c r="D146" s="718"/>
      <c r="E146" s="718"/>
      <c r="F146" s="719"/>
    </row>
    <row r="147" spans="1:6">
      <c r="A147" s="192"/>
      <c r="B147" s="692" t="s">
        <v>416</v>
      </c>
      <c r="C147" s="693"/>
      <c r="D147" s="693"/>
      <c r="E147" s="694"/>
      <c r="F147" s="192" t="s">
        <v>417</v>
      </c>
    </row>
    <row r="148" spans="1:6" ht="12.75" customHeight="1">
      <c r="A148" s="194" t="s">
        <v>277</v>
      </c>
      <c r="B148" s="701" t="s">
        <v>418</v>
      </c>
      <c r="C148" s="702"/>
      <c r="D148" s="702"/>
      <c r="E148" s="703"/>
      <c r="F148" s="196">
        <f>D143</f>
        <v>9800</v>
      </c>
    </row>
    <row r="149" spans="1:6" ht="59.25" customHeight="1">
      <c r="A149" s="194" t="s">
        <v>280</v>
      </c>
      <c r="B149" s="704" t="s">
        <v>419</v>
      </c>
      <c r="C149" s="705"/>
      <c r="D149" s="705"/>
      <c r="E149" s="706"/>
      <c r="F149" s="196">
        <f>F148*12</f>
        <v>117600</v>
      </c>
    </row>
  </sheetData>
  <mergeCells count="143">
    <mergeCell ref="B8:G8"/>
    <mergeCell ref="H8:I8"/>
    <mergeCell ref="B9:G9"/>
    <mergeCell ref="H9:I9"/>
    <mergeCell ref="B10:G10"/>
    <mergeCell ref="H10:I10"/>
    <mergeCell ref="A1:I1"/>
    <mergeCell ref="A2:I2"/>
    <mergeCell ref="A3:I3"/>
    <mergeCell ref="A5:I5"/>
    <mergeCell ref="A6:I6"/>
    <mergeCell ref="B7:G7"/>
    <mergeCell ref="H7:I7"/>
    <mergeCell ref="B16:G16"/>
    <mergeCell ref="H16:I16"/>
    <mergeCell ref="B17:G17"/>
    <mergeCell ref="H17:I17"/>
    <mergeCell ref="B18:G18"/>
    <mergeCell ref="H18:I18"/>
    <mergeCell ref="A11:I11"/>
    <mergeCell ref="A12:I12"/>
    <mergeCell ref="A13:I13"/>
    <mergeCell ref="A14:I14"/>
    <mergeCell ref="B15:G15"/>
    <mergeCell ref="H15:I15"/>
    <mergeCell ref="B24:G24"/>
    <mergeCell ref="B25:G25"/>
    <mergeCell ref="B26:G26"/>
    <mergeCell ref="B27:G27"/>
    <mergeCell ref="B28:G28"/>
    <mergeCell ref="B29:G29"/>
    <mergeCell ref="B19:G19"/>
    <mergeCell ref="H19:I19"/>
    <mergeCell ref="A20:I20"/>
    <mergeCell ref="A21:I21"/>
    <mergeCell ref="B22:G22"/>
    <mergeCell ref="B23:H23"/>
    <mergeCell ref="A36:G36"/>
    <mergeCell ref="A37:I37"/>
    <mergeCell ref="A38:G40"/>
    <mergeCell ref="A41:I41"/>
    <mergeCell ref="B42:G42"/>
    <mergeCell ref="B43:G43"/>
    <mergeCell ref="A30:H30"/>
    <mergeCell ref="A31:I31"/>
    <mergeCell ref="A32:I32"/>
    <mergeCell ref="B33:G33"/>
    <mergeCell ref="B34:G34"/>
    <mergeCell ref="B35:G35"/>
    <mergeCell ref="B50:G50"/>
    <mergeCell ref="A51:G51"/>
    <mergeCell ref="A52:I52"/>
    <mergeCell ref="A53:I53"/>
    <mergeCell ref="B54:H54"/>
    <mergeCell ref="B55:H55"/>
    <mergeCell ref="B44:G44"/>
    <mergeCell ref="B45:C45"/>
    <mergeCell ref="B46:G46"/>
    <mergeCell ref="B47:G47"/>
    <mergeCell ref="B48:G48"/>
    <mergeCell ref="B49:G49"/>
    <mergeCell ref="B62:H62"/>
    <mergeCell ref="A63:I63"/>
    <mergeCell ref="A64:I64"/>
    <mergeCell ref="B65:H65"/>
    <mergeCell ref="B66:H66"/>
    <mergeCell ref="B67:H67"/>
    <mergeCell ref="B56:G56"/>
    <mergeCell ref="B57:G57"/>
    <mergeCell ref="B58:G58"/>
    <mergeCell ref="B59:G59"/>
    <mergeCell ref="B60:G60"/>
    <mergeCell ref="B61:G61"/>
    <mergeCell ref="B74:G74"/>
    <mergeCell ref="B75:G75"/>
    <mergeCell ref="B76:G76"/>
    <mergeCell ref="B77:G77"/>
    <mergeCell ref="A78:H78"/>
    <mergeCell ref="A79:G82"/>
    <mergeCell ref="B68:H68"/>
    <mergeCell ref="A69:H69"/>
    <mergeCell ref="A70:I70"/>
    <mergeCell ref="A71:I71"/>
    <mergeCell ref="B72:G72"/>
    <mergeCell ref="B73:G73"/>
    <mergeCell ref="B89:G89"/>
    <mergeCell ref="B90:G90"/>
    <mergeCell ref="B91:G91"/>
    <mergeCell ref="A92:H92"/>
    <mergeCell ref="B93:H93"/>
    <mergeCell ref="B94:G94"/>
    <mergeCell ref="A83:I83"/>
    <mergeCell ref="A84:I84"/>
    <mergeCell ref="B85:G85"/>
    <mergeCell ref="B86:G86"/>
    <mergeCell ref="B87:G87"/>
    <mergeCell ref="B88:G88"/>
    <mergeCell ref="A101:I101"/>
    <mergeCell ref="A102:I102"/>
    <mergeCell ref="B103:H103"/>
    <mergeCell ref="B104:H104"/>
    <mergeCell ref="B105:H105"/>
    <mergeCell ref="B106:H106"/>
    <mergeCell ref="A95:H95"/>
    <mergeCell ref="A96:I96"/>
    <mergeCell ref="B97:H97"/>
    <mergeCell ref="B98:G98"/>
    <mergeCell ref="B99:G99"/>
    <mergeCell ref="A100:H100"/>
    <mergeCell ref="B118:G118"/>
    <mergeCell ref="B119:G119"/>
    <mergeCell ref="B120:G120"/>
    <mergeCell ref="B121:G121"/>
    <mergeCell ref="B122:G122"/>
    <mergeCell ref="B123:G123"/>
    <mergeCell ref="A107:H107"/>
    <mergeCell ref="A108:G113"/>
    <mergeCell ref="A114:I114"/>
    <mergeCell ref="B115:G115"/>
    <mergeCell ref="B116:G116"/>
    <mergeCell ref="B117:G117"/>
    <mergeCell ref="A130:H130"/>
    <mergeCell ref="B131:H131"/>
    <mergeCell ref="B132:H132"/>
    <mergeCell ref="B133:H133"/>
    <mergeCell ref="B134:H134"/>
    <mergeCell ref="B135:H135"/>
    <mergeCell ref="B124:G124"/>
    <mergeCell ref="A125:G125"/>
    <mergeCell ref="A126:G126"/>
    <mergeCell ref="A127:I127"/>
    <mergeCell ref="A128:I128"/>
    <mergeCell ref="A129:I129"/>
    <mergeCell ref="A146:F146"/>
    <mergeCell ref="B147:E147"/>
    <mergeCell ref="B149:E149"/>
    <mergeCell ref="A136:H136"/>
    <mergeCell ref="B137:H137"/>
    <mergeCell ref="A138:H138"/>
    <mergeCell ref="A141:F141"/>
    <mergeCell ref="D142:F142"/>
    <mergeCell ref="D143:F143"/>
    <mergeCell ref="B148:E148"/>
  </mergeCells>
  <pageMargins left="0.511811024" right="0.511811024" top="0.78740157499999996" bottom="0.78740157499999996" header="0.31496062000000002" footer="0.31496062000000002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61"/>
  <sheetViews>
    <sheetView topLeftCell="C31" zoomScale="55" zoomScaleNormal="55" workbookViewId="0">
      <selection activeCell="U62" sqref="U62"/>
    </sheetView>
  </sheetViews>
  <sheetFormatPr defaultRowHeight="13.2"/>
  <cols>
    <col min="2" max="2" width="12.44140625" customWidth="1"/>
    <col min="3" max="3" width="44.44140625" customWidth="1"/>
    <col min="4" max="4" width="19.21875" customWidth="1"/>
    <col min="5" max="5" width="15.33203125" customWidth="1"/>
    <col min="6" max="6" width="15.88671875" customWidth="1"/>
    <col min="7" max="7" width="15" customWidth="1"/>
    <col min="8" max="8" width="10.88671875" customWidth="1"/>
    <col min="9" max="9" width="28" customWidth="1"/>
    <col min="10" max="10" width="51.109375" customWidth="1"/>
    <col min="11" max="11" width="22.33203125" customWidth="1"/>
    <col min="12" max="12" width="16.5546875" customWidth="1"/>
    <col min="13" max="13" width="15.109375" customWidth="1"/>
    <col min="14" max="14" width="15.33203125" customWidth="1"/>
    <col min="15" max="15" width="13.5546875" customWidth="1"/>
    <col min="16" max="17" width="13" customWidth="1"/>
  </cols>
  <sheetData>
    <row r="1" spans="2:19" ht="15.6"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2" spans="2:19" ht="15.6"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2:19" ht="15.6">
      <c r="B3" s="99" t="s">
        <v>39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2:19" ht="15.6">
      <c r="B4" s="100" t="s">
        <v>40</v>
      </c>
      <c r="C4" s="101" t="s">
        <v>41</v>
      </c>
      <c r="D4" s="488" t="s">
        <v>42</v>
      </c>
      <c r="E4" s="488"/>
      <c r="F4" s="488"/>
      <c r="G4" s="488"/>
      <c r="H4" s="488"/>
      <c r="I4" s="488"/>
      <c r="J4" s="488"/>
      <c r="K4" s="488"/>
      <c r="L4" s="488"/>
      <c r="M4" s="488"/>
      <c r="N4" s="488"/>
      <c r="O4" s="488"/>
      <c r="P4" s="488"/>
      <c r="Q4" s="488"/>
    </row>
    <row r="5" spans="2:19">
      <c r="B5" s="489" t="s">
        <v>43</v>
      </c>
      <c r="C5" s="487" t="s">
        <v>44</v>
      </c>
      <c r="D5" s="487" t="s">
        <v>45</v>
      </c>
      <c r="E5" s="487"/>
      <c r="F5" s="487"/>
      <c r="G5" s="487"/>
      <c r="H5" s="487"/>
      <c r="I5" s="487"/>
      <c r="J5" s="487"/>
      <c r="K5" s="487"/>
      <c r="L5" s="487"/>
      <c r="M5" s="487"/>
      <c r="N5" s="487"/>
      <c r="O5" s="487"/>
      <c r="P5" s="487"/>
      <c r="Q5" s="487"/>
    </row>
    <row r="6" spans="2:19" ht="23.25" customHeight="1">
      <c r="B6" s="489"/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87"/>
    </row>
    <row r="7" spans="2:19" ht="15.6">
      <c r="B7" s="100" t="s">
        <v>46</v>
      </c>
      <c r="C7" s="101" t="s">
        <v>47</v>
      </c>
      <c r="D7" s="488" t="s">
        <v>48</v>
      </c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8"/>
      <c r="Q7" s="488"/>
    </row>
    <row r="8" spans="2:19">
      <c r="B8" s="489" t="s">
        <v>49</v>
      </c>
      <c r="C8" s="487" t="s">
        <v>50</v>
      </c>
      <c r="D8" s="487"/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</row>
    <row r="9" spans="2:19">
      <c r="B9" s="489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7"/>
      <c r="P9" s="487"/>
      <c r="Q9" s="487"/>
    </row>
    <row r="10" spans="2:19" ht="43.5" customHeight="1">
      <c r="B10" s="489"/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</row>
    <row r="11" spans="2:19" ht="15.6">
      <c r="B11" s="100" t="s">
        <v>51</v>
      </c>
      <c r="C11" s="102" t="s">
        <v>52</v>
      </c>
      <c r="D11" s="487" t="s">
        <v>53</v>
      </c>
      <c r="E11" s="487"/>
      <c r="F11" s="487"/>
      <c r="G11" s="487"/>
      <c r="H11" s="487"/>
      <c r="I11" s="487"/>
      <c r="J11" s="487"/>
      <c r="K11" s="487"/>
      <c r="L11" s="487"/>
      <c r="M11" s="487"/>
      <c r="N11" s="487"/>
      <c r="O11" s="487"/>
      <c r="P11" s="487"/>
      <c r="Q11" s="487"/>
    </row>
    <row r="12" spans="2:19" ht="15.6">
      <c r="B12" s="100" t="s">
        <v>54</v>
      </c>
      <c r="C12" s="101" t="s">
        <v>55</v>
      </c>
      <c r="D12" s="488" t="s">
        <v>56</v>
      </c>
      <c r="E12" s="488"/>
      <c r="F12" s="488"/>
      <c r="G12" s="488"/>
      <c r="H12" s="488"/>
      <c r="I12" s="488"/>
      <c r="J12" s="103"/>
      <c r="K12" s="103"/>
      <c r="L12" s="103"/>
      <c r="M12" s="103"/>
      <c r="N12" s="103"/>
      <c r="O12" s="103"/>
      <c r="P12" s="103"/>
      <c r="Q12" s="103"/>
    </row>
    <row r="13" spans="2:19" ht="15.6">
      <c r="B13" s="100" t="s">
        <v>57</v>
      </c>
      <c r="C13" s="101" t="s">
        <v>58</v>
      </c>
      <c r="D13" s="103" t="s">
        <v>59</v>
      </c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</row>
    <row r="14" spans="2:19" ht="15.6"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104" t="s">
        <v>40</v>
      </c>
      <c r="M14" s="104" t="s">
        <v>43</v>
      </c>
      <c r="N14" s="104" t="s">
        <v>46</v>
      </c>
      <c r="O14" s="104" t="s">
        <v>49</v>
      </c>
      <c r="P14" s="104" t="s">
        <v>51</v>
      </c>
      <c r="Q14" s="104" t="s">
        <v>54</v>
      </c>
    </row>
    <row r="15" spans="2:19" ht="46.8">
      <c r="B15" s="95" t="s">
        <v>60</v>
      </c>
      <c r="C15" s="95" t="s">
        <v>61</v>
      </c>
      <c r="D15" s="95" t="s">
        <v>62</v>
      </c>
      <c r="E15" s="95" t="s">
        <v>63</v>
      </c>
      <c r="F15" s="95" t="s">
        <v>64</v>
      </c>
      <c r="G15" s="95" t="s">
        <v>65</v>
      </c>
      <c r="H15" s="95" t="s">
        <v>60</v>
      </c>
      <c r="I15" s="95" t="s">
        <v>66</v>
      </c>
      <c r="J15" s="95" t="s">
        <v>67</v>
      </c>
      <c r="K15" s="95" t="s">
        <v>68</v>
      </c>
      <c r="L15" s="95" t="s">
        <v>69</v>
      </c>
      <c r="M15" s="95" t="s">
        <v>44</v>
      </c>
      <c r="N15" s="95" t="s">
        <v>47</v>
      </c>
      <c r="O15" s="95" t="s">
        <v>50</v>
      </c>
      <c r="P15" s="95" t="s">
        <v>52</v>
      </c>
      <c r="Q15" s="95" t="s">
        <v>70</v>
      </c>
      <c r="S15" s="252"/>
    </row>
    <row r="16" spans="2:19" ht="31.2">
      <c r="B16" s="207">
        <v>1</v>
      </c>
      <c r="C16" s="302" t="str">
        <f>IF(B16="","",VLOOKUP($B16,'Metragem por Localidade'!$A:$B,2,0))</f>
        <v>Superintendência Regional de Administração em Goiás e Tocantins</v>
      </c>
      <c r="D16" s="362">
        <f>IF($B16="","",VLOOKUP($B16,'PROPOSTA RESUMO'!$B$25:$H$26,4,0))</f>
        <v>1</v>
      </c>
      <c r="E16" s="268" t="str">
        <f>IF($B16="","",IF($F16&lt;3000,"Posto de 20h","Posto de 44h"))</f>
        <v>Posto de 44h</v>
      </c>
      <c r="F16" s="303">
        <f>IF($B16="","",VLOOKUP($B16,'PROPOSTA RESUMO'!$B$25:$G$27,5,0))</f>
        <v>4900.0011190573314</v>
      </c>
      <c r="G16" s="304">
        <f>D16*F16</f>
        <v>4900.0011190573314</v>
      </c>
      <c r="H16" s="305" t="s">
        <v>71</v>
      </c>
      <c r="I16" s="479" t="s">
        <v>72</v>
      </c>
      <c r="J16" s="283" t="s">
        <v>73</v>
      </c>
      <c r="K16" s="335">
        <f>'Metragem por Localidade'!$F$3</f>
        <v>433.39</v>
      </c>
      <c r="L16" s="481">
        <f>SUM(K16:K20)</f>
        <v>573.04999999999995</v>
      </c>
      <c r="M16" s="268">
        <v>1</v>
      </c>
      <c r="N16" s="268">
        <v>800</v>
      </c>
      <c r="O16" s="348">
        <f>K16*M16/N16</f>
        <v>0.54173749999999998</v>
      </c>
      <c r="P16" s="351">
        <f>O16/$O$28</f>
        <v>0.70511441339179504</v>
      </c>
      <c r="Q16" s="269"/>
      <c r="S16" s="252"/>
    </row>
    <row r="17" spans="2:19" ht="15.6">
      <c r="B17" s="267"/>
      <c r="C17" s="272"/>
      <c r="D17" s="210"/>
      <c r="E17" s="210"/>
      <c r="F17" s="306"/>
      <c r="G17" s="307"/>
      <c r="H17" s="308"/>
      <c r="I17" s="480"/>
      <c r="J17" s="284" t="s">
        <v>74</v>
      </c>
      <c r="K17" s="336">
        <f>'Metragem por Localidade'!$E$3</f>
        <v>0</v>
      </c>
      <c r="L17" s="482"/>
      <c r="M17" s="210">
        <v>0</v>
      </c>
      <c r="N17" s="210">
        <v>1200</v>
      </c>
      <c r="O17" s="349">
        <f t="shared" ref="O17:O25" si="0">K17*M17/N17</f>
        <v>0</v>
      </c>
      <c r="P17" s="352">
        <f t="shared" ref="P17:P27" si="1">O17/$O$28</f>
        <v>0</v>
      </c>
      <c r="Q17" s="271"/>
      <c r="S17" s="252"/>
    </row>
    <row r="18" spans="2:19" ht="20.25" customHeight="1">
      <c r="B18" s="267"/>
      <c r="C18" s="272"/>
      <c r="D18" s="210"/>
      <c r="E18" s="210"/>
      <c r="F18" s="306"/>
      <c r="G18" s="307"/>
      <c r="H18" s="308"/>
      <c r="I18" s="480"/>
      <c r="J18" s="284" t="s">
        <v>75</v>
      </c>
      <c r="K18" s="336">
        <f>'Metragem por Localidade'!$H$3</f>
        <v>121.78</v>
      </c>
      <c r="L18" s="482"/>
      <c r="M18" s="210">
        <v>1</v>
      </c>
      <c r="N18" s="210">
        <v>1000</v>
      </c>
      <c r="O18" s="349">
        <f t="shared" si="0"/>
        <v>0.12178</v>
      </c>
      <c r="P18" s="352">
        <f t="shared" si="1"/>
        <v>0.15850634903962307</v>
      </c>
      <c r="Q18" s="271"/>
      <c r="S18" s="252"/>
    </row>
    <row r="19" spans="2:19" ht="15.6">
      <c r="B19" s="267"/>
      <c r="C19" s="272"/>
      <c r="D19" s="210"/>
      <c r="E19" s="210"/>
      <c r="F19" s="306"/>
      <c r="G19" s="307"/>
      <c r="H19" s="308"/>
      <c r="I19" s="480"/>
      <c r="J19" s="284" t="s">
        <v>76</v>
      </c>
      <c r="K19" s="336">
        <f>'Metragem por Localidade'!$I$3</f>
        <v>2.7</v>
      </c>
      <c r="L19" s="482"/>
      <c r="M19" s="210">
        <v>1</v>
      </c>
      <c r="N19" s="210">
        <v>300</v>
      </c>
      <c r="O19" s="349">
        <f t="shared" si="0"/>
        <v>9.0000000000000011E-3</v>
      </c>
      <c r="P19" s="352">
        <f t="shared" si="1"/>
        <v>1.1714215317429857E-2</v>
      </c>
      <c r="Q19" s="271"/>
      <c r="S19" s="252"/>
    </row>
    <row r="20" spans="2:19" ht="15.6">
      <c r="B20" s="267"/>
      <c r="C20" s="272"/>
      <c r="D20" s="210"/>
      <c r="E20" s="210"/>
      <c r="F20" s="306"/>
      <c r="G20" s="307"/>
      <c r="H20" s="308"/>
      <c r="I20" s="480"/>
      <c r="J20" s="284" t="s">
        <v>77</v>
      </c>
      <c r="K20" s="336">
        <f>'Metragem por Localidade'!$G$3</f>
        <v>15.18</v>
      </c>
      <c r="L20" s="482"/>
      <c r="M20" s="270">
        <f>1/15</f>
        <v>6.6666666666666666E-2</v>
      </c>
      <c r="N20" s="210">
        <v>2500</v>
      </c>
      <c r="O20" s="349">
        <f t="shared" si="0"/>
        <v>4.0480000000000003E-4</v>
      </c>
      <c r="P20" s="352">
        <f t="shared" si="1"/>
        <v>5.2687937338840066E-4</v>
      </c>
      <c r="Q20" s="271"/>
      <c r="S20" s="252"/>
    </row>
    <row r="21" spans="2:19" ht="31.2">
      <c r="B21" s="208"/>
      <c r="C21" s="296"/>
      <c r="D21" s="210"/>
      <c r="E21" s="210"/>
      <c r="F21" s="306"/>
      <c r="G21" s="307"/>
      <c r="H21" s="308"/>
      <c r="I21" s="483" t="s">
        <v>78</v>
      </c>
      <c r="J21" s="285" t="s">
        <v>79</v>
      </c>
      <c r="K21" s="337">
        <f>'Metragem por Localidade'!$J$3</f>
        <v>0</v>
      </c>
      <c r="L21" s="484">
        <f>SUM(K21:K23)</f>
        <v>0</v>
      </c>
      <c r="M21" s="210">
        <v>1</v>
      </c>
      <c r="N21" s="210">
        <v>2700</v>
      </c>
      <c r="O21" s="349">
        <f>K21*M21/N21</f>
        <v>0</v>
      </c>
      <c r="P21" s="352">
        <f t="shared" si="1"/>
        <v>0</v>
      </c>
      <c r="Q21" s="271"/>
      <c r="S21" s="252"/>
    </row>
    <row r="22" spans="2:19" ht="16.5" customHeight="1">
      <c r="B22" s="208"/>
      <c r="C22" s="296"/>
      <c r="D22" s="210"/>
      <c r="E22" s="210"/>
      <c r="F22" s="306"/>
      <c r="G22" s="307"/>
      <c r="H22" s="308"/>
      <c r="I22" s="483"/>
      <c r="J22" s="285" t="s">
        <v>80</v>
      </c>
      <c r="K22" s="337">
        <f>'Metragem por Localidade'!$K$3</f>
        <v>0</v>
      </c>
      <c r="L22" s="484"/>
      <c r="M22" s="210">
        <v>1</v>
      </c>
      <c r="N22" s="210">
        <v>9000</v>
      </c>
      <c r="O22" s="349">
        <f t="shared" si="0"/>
        <v>0</v>
      </c>
      <c r="P22" s="352">
        <f t="shared" si="1"/>
        <v>0</v>
      </c>
      <c r="Q22" s="271"/>
      <c r="S22" s="252"/>
    </row>
    <row r="23" spans="2:19" ht="15.6">
      <c r="B23" s="208"/>
      <c r="C23" s="296"/>
      <c r="D23" s="210"/>
      <c r="E23" s="210"/>
      <c r="F23" s="306"/>
      <c r="G23" s="307"/>
      <c r="H23" s="308"/>
      <c r="I23" s="483"/>
      <c r="J23" s="285" t="s">
        <v>81</v>
      </c>
      <c r="K23" s="338">
        <f>'Metragem por Localidade'!$L$3</f>
        <v>0</v>
      </c>
      <c r="L23" s="484"/>
      <c r="M23" s="210">
        <v>1</v>
      </c>
      <c r="N23" s="210">
        <v>2700</v>
      </c>
      <c r="O23" s="349">
        <f t="shared" si="0"/>
        <v>0</v>
      </c>
      <c r="P23" s="352">
        <f t="shared" si="1"/>
        <v>0</v>
      </c>
      <c r="Q23" s="271"/>
      <c r="S23" s="252"/>
    </row>
    <row r="24" spans="2:19" ht="20.25" customHeight="1">
      <c r="B24" s="208"/>
      <c r="C24" s="296"/>
      <c r="D24" s="210"/>
      <c r="E24" s="210"/>
      <c r="F24" s="306"/>
      <c r="G24" s="307"/>
      <c r="H24" s="308"/>
      <c r="I24" s="485" t="s">
        <v>82</v>
      </c>
      <c r="J24" s="287" t="s">
        <v>83</v>
      </c>
      <c r="K24" s="339">
        <f>'Metragem por Localidade'!$M$3</f>
        <v>0</v>
      </c>
      <c r="L24" s="486">
        <f>SUM(K24:K26)</f>
        <v>0</v>
      </c>
      <c r="M24" s="210">
        <v>0</v>
      </c>
      <c r="N24" s="210">
        <v>160</v>
      </c>
      <c r="O24" s="349">
        <f t="shared" si="0"/>
        <v>0</v>
      </c>
      <c r="P24" s="352">
        <f t="shared" si="1"/>
        <v>0</v>
      </c>
      <c r="Q24" s="271"/>
      <c r="S24" s="252"/>
    </row>
    <row r="25" spans="2:19" ht="15.6">
      <c r="B25" s="208"/>
      <c r="C25" s="296"/>
      <c r="D25" s="210"/>
      <c r="E25" s="210"/>
      <c r="F25" s="306"/>
      <c r="G25" s="307"/>
      <c r="H25" s="308"/>
      <c r="I25" s="485"/>
      <c r="J25" s="287" t="s">
        <v>84</v>
      </c>
      <c r="K25" s="339">
        <f>'Metragem por Localidade'!$N$3</f>
        <v>0</v>
      </c>
      <c r="L25" s="486"/>
      <c r="M25" s="270">
        <f>1/15</f>
        <v>6.6666666666666666E-2</v>
      </c>
      <c r="N25" s="210">
        <v>380</v>
      </c>
      <c r="O25" s="349">
        <f t="shared" si="0"/>
        <v>0</v>
      </c>
      <c r="P25" s="352">
        <f t="shared" si="1"/>
        <v>0</v>
      </c>
      <c r="Q25" s="271"/>
      <c r="S25" s="252"/>
    </row>
    <row r="26" spans="2:19" ht="15.6">
      <c r="B26" s="208"/>
      <c r="C26" s="296"/>
      <c r="D26" s="210"/>
      <c r="E26" s="210"/>
      <c r="F26" s="306"/>
      <c r="G26" s="307"/>
      <c r="H26" s="308"/>
      <c r="I26" s="485"/>
      <c r="J26" s="287" t="s">
        <v>85</v>
      </c>
      <c r="K26" s="339">
        <f>'Metragem por Localidade'!$O$3</f>
        <v>0</v>
      </c>
      <c r="L26" s="486"/>
      <c r="M26" s="270">
        <f>1/15</f>
        <v>6.6666666666666666E-2</v>
      </c>
      <c r="N26" s="210">
        <v>380</v>
      </c>
      <c r="O26" s="349">
        <f>K26*M26/N26</f>
        <v>0</v>
      </c>
      <c r="P26" s="352">
        <f t="shared" si="1"/>
        <v>0</v>
      </c>
      <c r="Q26" s="271"/>
      <c r="S26" s="252"/>
    </row>
    <row r="27" spans="2:19" ht="15.6">
      <c r="B27" s="208"/>
      <c r="C27" s="296"/>
      <c r="D27" s="210"/>
      <c r="E27" s="210"/>
      <c r="F27" s="306"/>
      <c r="G27" s="307"/>
      <c r="H27" s="308"/>
      <c r="I27" s="281" t="s">
        <v>86</v>
      </c>
      <c r="J27" s="289" t="s">
        <v>87</v>
      </c>
      <c r="K27" s="340">
        <f>'Metragem por Localidade'!$P$3</f>
        <v>228.9</v>
      </c>
      <c r="L27" s="282">
        <f>K27</f>
        <v>228.9</v>
      </c>
      <c r="M27" s="270">
        <f>1/15</f>
        <v>6.6666666666666666E-2</v>
      </c>
      <c r="N27" s="210">
        <v>160</v>
      </c>
      <c r="O27" s="349">
        <f>K27*M27/N27</f>
        <v>9.5375000000000001E-2</v>
      </c>
      <c r="P27" s="352">
        <f t="shared" si="1"/>
        <v>0.1241381428777636</v>
      </c>
      <c r="Q27" s="271"/>
      <c r="S27" s="252"/>
    </row>
    <row r="28" spans="2:19" ht="15.6">
      <c r="B28" s="208"/>
      <c r="C28" s="296" t="s">
        <v>71</v>
      </c>
      <c r="D28" s="296"/>
      <c r="E28" s="210" t="str">
        <f t="shared" ref="E28:E61" si="2">IF($B28="","",IF($F28&lt;3000,"Meio","Inteiro"))</f>
        <v/>
      </c>
      <c r="F28" s="306" t="s">
        <v>71</v>
      </c>
      <c r="G28" s="296"/>
      <c r="H28" s="308" t="s">
        <v>71</v>
      </c>
      <c r="I28" s="272" t="s">
        <v>88</v>
      </c>
      <c r="J28" s="272"/>
      <c r="K28" s="272"/>
      <c r="L28" s="273">
        <f>SUM(L16:L27)</f>
        <v>801.94999999999993</v>
      </c>
      <c r="M28" s="274"/>
      <c r="N28" s="274"/>
      <c r="O28" s="350">
        <f>SUM(O16:O27)</f>
        <v>0.76829729999999996</v>
      </c>
      <c r="P28" s="353">
        <f>SUM(P16:P27)</f>
        <v>0.99999999999999989</v>
      </c>
      <c r="Q28" s="276"/>
      <c r="S28" s="252"/>
    </row>
    <row r="29" spans="2:19" ht="15.6">
      <c r="B29" s="209"/>
      <c r="C29" s="309" t="s">
        <v>71</v>
      </c>
      <c r="D29" s="309"/>
      <c r="E29" s="310" t="str">
        <f t="shared" si="2"/>
        <v/>
      </c>
      <c r="F29" s="311" t="s">
        <v>71</v>
      </c>
      <c r="G29" s="309"/>
      <c r="H29" s="206">
        <v>1</v>
      </c>
      <c r="I29" s="277" t="s">
        <v>89</v>
      </c>
      <c r="J29" s="277"/>
      <c r="K29" s="277"/>
      <c r="L29" s="278"/>
      <c r="M29" s="279"/>
      <c r="N29" s="279"/>
      <c r="O29" s="279"/>
      <c r="P29" s="277"/>
      <c r="Q29" s="280">
        <f>G16/L28</f>
        <v>6.1101080105459591</v>
      </c>
      <c r="S29" s="252"/>
    </row>
    <row r="30" spans="2:19" ht="15.6">
      <c r="B30" s="210"/>
      <c r="C30" s="98" t="s">
        <v>71</v>
      </c>
      <c r="D30" s="98"/>
      <c r="E30" s="104" t="str">
        <f t="shared" si="2"/>
        <v/>
      </c>
      <c r="F30" s="139" t="s">
        <v>71</v>
      </c>
      <c r="G30" s="98"/>
      <c r="H30" s="107" t="s">
        <v>71</v>
      </c>
      <c r="I30" s="98"/>
      <c r="J30" s="296"/>
      <c r="K30" s="296"/>
      <c r="L30" s="210"/>
      <c r="M30" s="210"/>
      <c r="N30" s="210"/>
      <c r="O30" s="210"/>
      <c r="P30" s="296"/>
      <c r="Q30" s="296"/>
      <c r="S30" s="252"/>
    </row>
    <row r="31" spans="2:19" ht="15.6">
      <c r="B31" s="207">
        <v>2</v>
      </c>
      <c r="C31" s="302" t="str">
        <f>IF(B31="","",VLOOKUP($B31,'Metragem por Localidade'!$A:$B,2,0))</f>
        <v>Procuradoria da Fazenda Nacional em Goiás</v>
      </c>
      <c r="D31" s="268">
        <f>IF($B31="","",VLOOKUP($B31,'PROPOSTA RESUMO'!$B$25:$H$26,4,0))</f>
        <v>7</v>
      </c>
      <c r="E31" s="268" t="str">
        <f>IF($B31="","",IF($F31&lt;3000,"Posto de 20h","Posto de 44h"))</f>
        <v>Posto de 44h</v>
      </c>
      <c r="F31" s="303">
        <f>IF($B31="","",VLOOKUP($B31,'PROPOSTA RESUMO'!$B$25:$G$27,5,0))</f>
        <v>4900.0011190573314</v>
      </c>
      <c r="G31" s="304">
        <f>D31*F31</f>
        <v>34300.007833401323</v>
      </c>
      <c r="H31" s="305" t="s">
        <v>71</v>
      </c>
      <c r="I31" s="479" t="s">
        <v>72</v>
      </c>
      <c r="J31" s="297" t="s">
        <v>73</v>
      </c>
      <c r="K31" s="335">
        <f>'Metragem por Localidade'!$F$4</f>
        <v>6458.16</v>
      </c>
      <c r="L31" s="481">
        <f>SUM(K31:K35)</f>
        <v>7530.66</v>
      </c>
      <c r="M31" s="268">
        <v>1</v>
      </c>
      <c r="N31" s="268">
        <v>1183</v>
      </c>
      <c r="O31" s="298">
        <f>K31*M31/N31</f>
        <v>5.459137785291631</v>
      </c>
      <c r="P31" s="354">
        <f>O31/$O$43</f>
        <v>0.77945389972130508</v>
      </c>
      <c r="Q31" s="269"/>
      <c r="S31" s="252"/>
    </row>
    <row r="32" spans="2:19" ht="15.6">
      <c r="B32" s="267"/>
      <c r="C32" s="272"/>
      <c r="D32" s="210"/>
      <c r="E32" s="210"/>
      <c r="F32" s="306"/>
      <c r="G32" s="307"/>
      <c r="H32" s="308"/>
      <c r="I32" s="480"/>
      <c r="J32" s="299" t="s">
        <v>74</v>
      </c>
      <c r="K32" s="336">
        <f>'Metragem por Localidade'!$E$4</f>
        <v>0</v>
      </c>
      <c r="L32" s="482"/>
      <c r="M32" s="210">
        <v>1</v>
      </c>
      <c r="N32" s="210">
        <v>1200</v>
      </c>
      <c r="O32" s="270">
        <f>K32*M32/N32</f>
        <v>0</v>
      </c>
      <c r="P32" s="355">
        <f t="shared" ref="P32:P35" si="3">O32/$O$43</f>
        <v>0</v>
      </c>
      <c r="Q32" s="271"/>
      <c r="S32" s="252"/>
    </row>
    <row r="33" spans="2:19" ht="15.6">
      <c r="B33" s="267"/>
      <c r="C33" s="272"/>
      <c r="D33" s="210"/>
      <c r="E33" s="210"/>
      <c r="F33" s="306"/>
      <c r="G33" s="307"/>
      <c r="H33" s="308"/>
      <c r="I33" s="480"/>
      <c r="J33" s="299" t="s">
        <v>75</v>
      </c>
      <c r="K33" s="336">
        <f>'Metragem por Localidade'!$H$4</f>
        <v>797.59</v>
      </c>
      <c r="L33" s="482"/>
      <c r="M33" s="210">
        <v>1</v>
      </c>
      <c r="N33" s="210">
        <v>1500</v>
      </c>
      <c r="O33" s="270">
        <f t="shared" ref="O33:O42" si="4">K33*M33/N33</f>
        <v>0.53172666666666668</v>
      </c>
      <c r="P33" s="355">
        <f t="shared" si="3"/>
        <v>7.5919758800702855E-2</v>
      </c>
      <c r="Q33" s="271"/>
      <c r="S33" s="252"/>
    </row>
    <row r="34" spans="2:19" ht="15.6">
      <c r="B34" s="267"/>
      <c r="C34" s="272"/>
      <c r="D34" s="210"/>
      <c r="E34" s="210"/>
      <c r="F34" s="306"/>
      <c r="G34" s="307"/>
      <c r="H34" s="308"/>
      <c r="I34" s="480"/>
      <c r="J34" s="299" t="s">
        <v>76</v>
      </c>
      <c r="K34" s="336">
        <f>'Metragem por Localidade'!$I$4</f>
        <v>274.91000000000003</v>
      </c>
      <c r="L34" s="482"/>
      <c r="M34" s="210">
        <v>1</v>
      </c>
      <c r="N34" s="210">
        <v>300</v>
      </c>
      <c r="O34" s="270">
        <f t="shared" si="4"/>
        <v>0.91636666666666677</v>
      </c>
      <c r="P34" s="355">
        <f t="shared" si="3"/>
        <v>0.13083853165098125</v>
      </c>
      <c r="Q34" s="271"/>
      <c r="S34" s="252"/>
    </row>
    <row r="35" spans="2:19" ht="15.6">
      <c r="B35" s="267"/>
      <c r="C35" s="272"/>
      <c r="D35" s="210"/>
      <c r="E35" s="210"/>
      <c r="F35" s="306"/>
      <c r="G35" s="307"/>
      <c r="H35" s="308"/>
      <c r="I35" s="480"/>
      <c r="J35" s="299" t="s">
        <v>77</v>
      </c>
      <c r="K35" s="336">
        <f>'Metragem por Localidade'!$G$4</f>
        <v>0</v>
      </c>
      <c r="L35" s="482"/>
      <c r="M35" s="210">
        <v>1</v>
      </c>
      <c r="N35" s="210">
        <v>2500</v>
      </c>
      <c r="O35" s="270">
        <f t="shared" si="4"/>
        <v>0</v>
      </c>
      <c r="P35" s="355">
        <f t="shared" si="3"/>
        <v>0</v>
      </c>
      <c r="Q35" s="271"/>
      <c r="S35" s="252"/>
    </row>
    <row r="36" spans="2:19" ht="15.6">
      <c r="B36" s="208" t="s">
        <v>71</v>
      </c>
      <c r="C36" s="296" t="s">
        <v>71</v>
      </c>
      <c r="D36" s="296"/>
      <c r="E36" s="210" t="str">
        <f t="shared" si="2"/>
        <v/>
      </c>
      <c r="F36" s="306" t="s">
        <v>71</v>
      </c>
      <c r="G36" s="296"/>
      <c r="H36" s="308" t="s">
        <v>71</v>
      </c>
      <c r="I36" s="483" t="s">
        <v>78</v>
      </c>
      <c r="J36" s="286" t="s">
        <v>79</v>
      </c>
      <c r="K36" s="337">
        <f>'Metragem por Localidade'!$J$4</f>
        <v>110.18</v>
      </c>
      <c r="L36" s="484">
        <f>SUM(K36:K38)</f>
        <v>560.58999999999992</v>
      </c>
      <c r="M36" s="210">
        <v>1</v>
      </c>
      <c r="N36" s="210">
        <v>2700</v>
      </c>
      <c r="O36" s="270">
        <f t="shared" si="4"/>
        <v>4.080740740740741E-2</v>
      </c>
      <c r="P36" s="355">
        <f>O36/$O$43</f>
        <v>5.8264682248756611E-3</v>
      </c>
      <c r="Q36" s="271"/>
      <c r="S36" s="252"/>
    </row>
    <row r="37" spans="2:19" ht="15.6">
      <c r="B37" s="208"/>
      <c r="C37" s="296"/>
      <c r="D37" s="296"/>
      <c r="E37" s="210"/>
      <c r="F37" s="306"/>
      <c r="G37" s="296"/>
      <c r="H37" s="308"/>
      <c r="I37" s="483"/>
      <c r="J37" s="286" t="s">
        <v>80</v>
      </c>
      <c r="K37" s="337">
        <f>'Metragem por Localidade'!$K$4</f>
        <v>428.37</v>
      </c>
      <c r="L37" s="484"/>
      <c r="M37" s="210">
        <v>1</v>
      </c>
      <c r="N37" s="210">
        <v>9000</v>
      </c>
      <c r="O37" s="270">
        <f t="shared" si="4"/>
        <v>4.7596666666666669E-2</v>
      </c>
      <c r="P37" s="355">
        <f t="shared" ref="P37:P42" si="5">O37/$O$43</f>
        <v>6.7958364317207845E-3</v>
      </c>
      <c r="Q37" s="271"/>
      <c r="S37" s="252"/>
    </row>
    <row r="38" spans="2:19" ht="15.6">
      <c r="B38" s="208"/>
      <c r="C38" s="296"/>
      <c r="D38" s="296"/>
      <c r="E38" s="210"/>
      <c r="F38" s="306"/>
      <c r="G38" s="296"/>
      <c r="H38" s="308"/>
      <c r="I38" s="483"/>
      <c r="J38" s="286" t="s">
        <v>81</v>
      </c>
      <c r="K38" s="338">
        <f>'Metragem por Localidade'!$L$4</f>
        <v>22.04</v>
      </c>
      <c r="L38" s="484"/>
      <c r="M38" s="210">
        <v>1</v>
      </c>
      <c r="N38" s="210">
        <v>2700</v>
      </c>
      <c r="O38" s="270">
        <f t="shared" si="4"/>
        <v>8.1629629629629621E-3</v>
      </c>
      <c r="P38" s="355">
        <f t="shared" si="5"/>
        <v>1.1655051704144088E-3</v>
      </c>
      <c r="Q38" s="271"/>
      <c r="S38" s="252"/>
    </row>
    <row r="39" spans="2:19" ht="15.6">
      <c r="B39" s="208" t="s">
        <v>71</v>
      </c>
      <c r="C39" s="296" t="s">
        <v>71</v>
      </c>
      <c r="D39" s="296"/>
      <c r="E39" s="210" t="str">
        <f t="shared" si="2"/>
        <v/>
      </c>
      <c r="F39" s="306" t="s">
        <v>71</v>
      </c>
      <c r="G39" s="296"/>
      <c r="H39" s="308" t="s">
        <v>71</v>
      </c>
      <c r="I39" s="485" t="s">
        <v>82</v>
      </c>
      <c r="J39" s="288" t="s">
        <v>83</v>
      </c>
      <c r="K39" s="339">
        <f>'Metragem por Localidade'!$M$4</f>
        <v>0</v>
      </c>
      <c r="L39" s="486">
        <f>SUM(K39:K41)</f>
        <v>0</v>
      </c>
      <c r="M39" s="270">
        <f>1/15</f>
        <v>6.6666666666666666E-2</v>
      </c>
      <c r="N39" s="210">
        <v>160</v>
      </c>
      <c r="O39" s="270">
        <f t="shared" si="4"/>
        <v>0</v>
      </c>
      <c r="P39" s="355">
        <f t="shared" si="5"/>
        <v>0</v>
      </c>
      <c r="Q39" s="271"/>
      <c r="S39" s="252"/>
    </row>
    <row r="40" spans="2:19" ht="15.6">
      <c r="B40" s="208"/>
      <c r="C40" s="296"/>
      <c r="D40" s="296"/>
      <c r="E40" s="210"/>
      <c r="F40" s="306"/>
      <c r="G40" s="296"/>
      <c r="H40" s="308"/>
      <c r="I40" s="485"/>
      <c r="J40" s="288" t="s">
        <v>84</v>
      </c>
      <c r="K40" s="339">
        <f>'Metragem por Localidade'!$N$4</f>
        <v>0</v>
      </c>
      <c r="L40" s="486"/>
      <c r="M40" s="270">
        <f t="shared" ref="M40:M41" si="6">1/15</f>
        <v>6.6666666666666666E-2</v>
      </c>
      <c r="N40" s="210">
        <v>380</v>
      </c>
      <c r="O40" s="270">
        <f t="shared" si="4"/>
        <v>0</v>
      </c>
      <c r="P40" s="355">
        <f t="shared" si="5"/>
        <v>0</v>
      </c>
      <c r="Q40" s="271"/>
      <c r="S40" s="252"/>
    </row>
    <row r="41" spans="2:19" ht="15.6">
      <c r="B41" s="208"/>
      <c r="C41" s="296"/>
      <c r="D41" s="296"/>
      <c r="E41" s="210"/>
      <c r="F41" s="306"/>
      <c r="G41" s="296"/>
      <c r="H41" s="308"/>
      <c r="I41" s="485"/>
      <c r="J41" s="288" t="s">
        <v>85</v>
      </c>
      <c r="K41" s="339">
        <f>'Metragem por Localidade'!$O$4</f>
        <v>0</v>
      </c>
      <c r="L41" s="486"/>
      <c r="M41" s="270">
        <f t="shared" si="6"/>
        <v>6.6666666666666666E-2</v>
      </c>
      <c r="N41" s="210">
        <v>380</v>
      </c>
      <c r="O41" s="270">
        <f t="shared" si="4"/>
        <v>0</v>
      </c>
      <c r="P41" s="355">
        <f t="shared" si="5"/>
        <v>0</v>
      </c>
      <c r="Q41" s="271"/>
      <c r="S41" s="252"/>
    </row>
    <row r="42" spans="2:19" ht="15.6">
      <c r="B42" s="208"/>
      <c r="C42" s="296"/>
      <c r="D42" s="296"/>
      <c r="E42" s="210"/>
      <c r="F42" s="306"/>
      <c r="G42" s="296"/>
      <c r="H42" s="308"/>
      <c r="I42" s="281" t="s">
        <v>86</v>
      </c>
      <c r="J42" s="290" t="s">
        <v>87</v>
      </c>
      <c r="K42" s="340">
        <f>'Metragem por Localidade'!$P$4</f>
        <v>155.28</v>
      </c>
      <c r="L42" s="282">
        <f>K42</f>
        <v>155.28</v>
      </c>
      <c r="M42" s="210">
        <v>0</v>
      </c>
      <c r="N42" s="210">
        <v>160</v>
      </c>
      <c r="O42" s="270">
        <f t="shared" si="4"/>
        <v>0</v>
      </c>
      <c r="P42" s="355">
        <f t="shared" si="5"/>
        <v>0</v>
      </c>
      <c r="Q42" s="271"/>
      <c r="S42" s="252"/>
    </row>
    <row r="43" spans="2:19" ht="15.6">
      <c r="B43" s="208" t="s">
        <v>71</v>
      </c>
      <c r="C43" s="296" t="s">
        <v>71</v>
      </c>
      <c r="D43" s="296"/>
      <c r="E43" s="210" t="str">
        <f t="shared" si="2"/>
        <v/>
      </c>
      <c r="F43" s="306" t="s">
        <v>71</v>
      </c>
      <c r="G43" s="296"/>
      <c r="H43" s="308" t="s">
        <v>71</v>
      </c>
      <c r="I43" s="272" t="s">
        <v>88</v>
      </c>
      <c r="J43" s="272"/>
      <c r="K43" s="272"/>
      <c r="L43" s="273">
        <f>SUM(L31:L42)</f>
        <v>8246.5300000000007</v>
      </c>
      <c r="M43" s="274"/>
      <c r="N43" s="274"/>
      <c r="O43" s="275">
        <f>SUM(O31:O42)</f>
        <v>7.0037981556620013</v>
      </c>
      <c r="P43" s="356">
        <f>SUM(P31:P42)</f>
        <v>1</v>
      </c>
      <c r="Q43" s="276"/>
      <c r="R43" s="251"/>
      <c r="S43" s="252"/>
    </row>
    <row r="44" spans="2:19" ht="15.6">
      <c r="B44" s="209" t="s">
        <v>71</v>
      </c>
      <c r="C44" s="309" t="s">
        <v>71</v>
      </c>
      <c r="D44" s="309"/>
      <c r="E44" s="310" t="str">
        <f t="shared" si="2"/>
        <v/>
      </c>
      <c r="F44" s="311" t="s">
        <v>71</v>
      </c>
      <c r="G44" s="309"/>
      <c r="H44" s="206">
        <v>2</v>
      </c>
      <c r="I44" s="277" t="s">
        <v>89</v>
      </c>
      <c r="J44" s="277"/>
      <c r="K44" s="277"/>
      <c r="L44" s="277"/>
      <c r="M44" s="279"/>
      <c r="N44" s="279"/>
      <c r="O44" s="279"/>
      <c r="P44" s="277"/>
      <c r="Q44" s="280">
        <f>G31/L43</f>
        <v>4.159326144863515</v>
      </c>
      <c r="S44" s="252"/>
    </row>
    <row r="45" spans="2:19" ht="15.6">
      <c r="B45" s="210"/>
      <c r="C45" s="98"/>
      <c r="D45" s="98"/>
      <c r="E45" s="104"/>
      <c r="F45" s="139"/>
      <c r="G45" s="98"/>
      <c r="H45" s="110"/>
      <c r="I45" s="108"/>
      <c r="J45" s="272"/>
      <c r="K45" s="272"/>
      <c r="L45" s="272"/>
      <c r="M45" s="274"/>
      <c r="N45" s="274"/>
      <c r="O45" s="274"/>
      <c r="P45" s="272"/>
      <c r="Q45" s="300"/>
      <c r="S45" s="252"/>
    </row>
    <row r="46" spans="2:19" ht="15.6">
      <c r="B46" s="210"/>
      <c r="C46" s="98"/>
      <c r="D46" s="98"/>
      <c r="E46" s="104"/>
      <c r="F46" s="139"/>
      <c r="G46" s="98"/>
      <c r="H46" s="110"/>
      <c r="I46" s="108"/>
      <c r="J46" s="272"/>
      <c r="K46" s="272"/>
      <c r="L46" s="272"/>
      <c r="M46" s="274"/>
      <c r="N46" s="274"/>
      <c r="O46" s="274"/>
      <c r="P46" s="272"/>
      <c r="Q46" s="300"/>
      <c r="S46" s="252"/>
    </row>
    <row r="47" spans="2:19" ht="31.2">
      <c r="B47" s="207">
        <v>3</v>
      </c>
      <c r="C47" s="302" t="str">
        <f>IF(B47="","",VLOOKUP($B47,'Metragem por Localidade'!$A:$B,2,0))</f>
        <v>Superintendência do Patrimônio da União em Goiás</v>
      </c>
      <c r="D47" s="268">
        <f>'PROPOSTA RESUMO'!E27</f>
        <v>2</v>
      </c>
      <c r="E47" s="268" t="str">
        <f>IF($B47="","",IF($F47&lt;3000,"Posto de 20h","Posto de 44h"))</f>
        <v>Posto de 44h</v>
      </c>
      <c r="F47" s="303">
        <f>IF($B47="","",VLOOKUP($B47,'PROPOSTA RESUMO'!$B$25:$G$27,5,0))</f>
        <v>4900.0011190573314</v>
      </c>
      <c r="G47" s="304">
        <f>D47*F47</f>
        <v>9800.0022381146628</v>
      </c>
      <c r="H47" s="305" t="s">
        <v>71</v>
      </c>
      <c r="I47" s="479" t="s">
        <v>72</v>
      </c>
      <c r="J47" s="297" t="s">
        <v>73</v>
      </c>
      <c r="K47" s="335">
        <f>'Metragem por Localidade'!$F$5</f>
        <v>786.87</v>
      </c>
      <c r="L47" s="481">
        <f>SUM(K47:K51)</f>
        <v>1108.17</v>
      </c>
      <c r="M47" s="268">
        <v>1</v>
      </c>
      <c r="N47" s="268">
        <v>800</v>
      </c>
      <c r="O47" s="298">
        <f>K47*M47/N47</f>
        <v>0.98358750000000006</v>
      </c>
      <c r="P47" s="358">
        <f>O47/$O$59</f>
        <v>0.56162931290038454</v>
      </c>
      <c r="Q47" s="269"/>
      <c r="R47" t="s">
        <v>90</v>
      </c>
      <c r="S47" s="252"/>
    </row>
    <row r="48" spans="2:19" ht="15.6">
      <c r="B48" s="267"/>
      <c r="C48" s="272"/>
      <c r="D48" s="210"/>
      <c r="E48" s="210"/>
      <c r="F48" s="306"/>
      <c r="G48" s="307"/>
      <c r="H48" s="308"/>
      <c r="I48" s="480"/>
      <c r="J48" s="299" t="s">
        <v>74</v>
      </c>
      <c r="K48" s="336">
        <f>'Metragem por Localidade'!$E$5</f>
        <v>0</v>
      </c>
      <c r="L48" s="482"/>
      <c r="M48" s="210">
        <v>0</v>
      </c>
      <c r="N48" s="210">
        <v>1200</v>
      </c>
      <c r="O48" s="270">
        <f t="shared" ref="O48:O52" si="7">K48*M48/N48</f>
        <v>0</v>
      </c>
      <c r="P48" s="359">
        <f t="shared" ref="P48:P58" si="8">O48/$O$59</f>
        <v>0</v>
      </c>
      <c r="Q48" s="271"/>
      <c r="S48" s="252"/>
    </row>
    <row r="49" spans="2:19" ht="15.6">
      <c r="B49" s="267"/>
      <c r="C49" s="272"/>
      <c r="D49" s="210"/>
      <c r="E49" s="210"/>
      <c r="F49" s="306"/>
      <c r="G49" s="307"/>
      <c r="H49" s="308"/>
      <c r="I49" s="480"/>
      <c r="J49" s="299" t="s">
        <v>75</v>
      </c>
      <c r="K49" s="336">
        <f>'Metragem por Localidade'!$H$5</f>
        <v>240.8</v>
      </c>
      <c r="L49" s="482"/>
      <c r="M49" s="210">
        <v>1</v>
      </c>
      <c r="N49" s="210">
        <v>1000</v>
      </c>
      <c r="O49" s="270">
        <f t="shared" si="7"/>
        <v>0.24080000000000001</v>
      </c>
      <c r="P49" s="359">
        <f t="shared" si="8"/>
        <v>0.13749700819338656</v>
      </c>
      <c r="Q49" s="271"/>
      <c r="R49" t="s">
        <v>90</v>
      </c>
      <c r="S49" s="252"/>
    </row>
    <row r="50" spans="2:19" ht="15.6">
      <c r="B50" s="267"/>
      <c r="C50" s="272"/>
      <c r="D50" s="210"/>
      <c r="E50" s="210"/>
      <c r="F50" s="306"/>
      <c r="G50" s="307"/>
      <c r="H50" s="308"/>
      <c r="I50" s="480"/>
      <c r="J50" s="299" t="s">
        <v>76</v>
      </c>
      <c r="K50" s="336">
        <f>'Metragem por Localidade'!$I$5</f>
        <v>46.7</v>
      </c>
      <c r="L50" s="482"/>
      <c r="M50" s="210">
        <v>1</v>
      </c>
      <c r="N50" s="210">
        <v>200</v>
      </c>
      <c r="O50" s="270">
        <f t="shared" si="7"/>
        <v>0.23350000000000001</v>
      </c>
      <c r="P50" s="359">
        <f t="shared" si="8"/>
        <v>0.13332870188187609</v>
      </c>
      <c r="Q50" s="271"/>
      <c r="S50" s="252"/>
    </row>
    <row r="51" spans="2:19" ht="15.6">
      <c r="B51" s="267"/>
      <c r="C51" s="272"/>
      <c r="D51" s="210"/>
      <c r="E51" s="210"/>
      <c r="F51" s="306"/>
      <c r="G51" s="307"/>
      <c r="H51" s="308"/>
      <c r="I51" s="480"/>
      <c r="J51" s="299" t="s">
        <v>77</v>
      </c>
      <c r="K51" s="336">
        <f>'Metragem por Localidade'!$G$5</f>
        <v>33.799999999999997</v>
      </c>
      <c r="L51" s="482"/>
      <c r="M51" s="270">
        <f>1/15</f>
        <v>6.6666666666666666E-2</v>
      </c>
      <c r="N51" s="210">
        <v>1500</v>
      </c>
      <c r="O51" s="270">
        <f t="shared" si="7"/>
        <v>1.5022222222222221E-3</v>
      </c>
      <c r="P51" s="359">
        <f t="shared" si="8"/>
        <v>8.5777018769591458E-4</v>
      </c>
      <c r="Q51" s="271"/>
      <c r="S51" s="252"/>
    </row>
    <row r="52" spans="2:19" ht="15.6">
      <c r="B52" s="208" t="s">
        <v>71</v>
      </c>
      <c r="C52" s="296" t="s">
        <v>71</v>
      </c>
      <c r="D52" s="296"/>
      <c r="E52" s="210" t="str">
        <f t="shared" si="2"/>
        <v/>
      </c>
      <c r="F52" s="306" t="s">
        <v>71</v>
      </c>
      <c r="G52" s="296"/>
      <c r="H52" s="308" t="s">
        <v>71</v>
      </c>
      <c r="I52" s="483" t="str">
        <f>I21</f>
        <v>Área Externa</v>
      </c>
      <c r="J52" s="286" t="s">
        <v>79</v>
      </c>
      <c r="K52" s="337">
        <f>'Metragem por Localidade'!$J$5</f>
        <v>0</v>
      </c>
      <c r="L52" s="484">
        <f>SUM(K52:K54)</f>
        <v>305.51</v>
      </c>
      <c r="M52" s="210">
        <v>1</v>
      </c>
      <c r="N52" s="210">
        <v>2700</v>
      </c>
      <c r="O52" s="270">
        <f t="shared" si="7"/>
        <v>0</v>
      </c>
      <c r="P52" s="359">
        <f>O52/$O$59</f>
        <v>0</v>
      </c>
      <c r="Q52" s="271"/>
      <c r="S52" s="252"/>
    </row>
    <row r="53" spans="2:19" ht="15.6">
      <c r="B53" s="208"/>
      <c r="C53" s="296"/>
      <c r="D53" s="296"/>
      <c r="E53" s="210"/>
      <c r="F53" s="306"/>
      <c r="G53" s="296"/>
      <c r="H53" s="308"/>
      <c r="I53" s="483"/>
      <c r="J53" s="286" t="s">
        <v>80</v>
      </c>
      <c r="K53" s="337">
        <f>'Metragem por Localidade'!$K$5</f>
        <v>0</v>
      </c>
      <c r="L53" s="484"/>
      <c r="M53" s="210">
        <v>1</v>
      </c>
      <c r="N53" s="210">
        <v>9000</v>
      </c>
      <c r="O53" s="270">
        <f t="shared" ref="O53:O58" si="9">K53*M53/N53</f>
        <v>0</v>
      </c>
      <c r="P53" s="359">
        <f t="shared" si="8"/>
        <v>0</v>
      </c>
      <c r="Q53" s="271"/>
      <c r="S53" s="252"/>
    </row>
    <row r="54" spans="2:19" ht="15.6">
      <c r="B54" s="208"/>
      <c r="C54" s="296"/>
      <c r="D54" s="296"/>
      <c r="E54" s="210"/>
      <c r="F54" s="306"/>
      <c r="G54" s="296"/>
      <c r="H54" s="308"/>
      <c r="I54" s="483"/>
      <c r="J54" s="286" t="s">
        <v>81</v>
      </c>
      <c r="K54" s="338">
        <f>'Metragem por Localidade'!$L$5</f>
        <v>305.51</v>
      </c>
      <c r="L54" s="484"/>
      <c r="M54" s="210">
        <v>1</v>
      </c>
      <c r="N54" s="210">
        <v>1800</v>
      </c>
      <c r="O54" s="270">
        <f t="shared" si="9"/>
        <v>0.16972777777777778</v>
      </c>
      <c r="P54" s="359">
        <f t="shared" si="8"/>
        <v>9.6914707856131252E-2</v>
      </c>
      <c r="Q54" s="271"/>
      <c r="R54" t="s">
        <v>90</v>
      </c>
      <c r="S54" s="252"/>
    </row>
    <row r="55" spans="2:19" ht="15.6">
      <c r="B55" s="208" t="s">
        <v>71</v>
      </c>
      <c r="C55" s="296" t="s">
        <v>71</v>
      </c>
      <c r="D55" s="296"/>
      <c r="E55" s="210" t="str">
        <f t="shared" si="2"/>
        <v/>
      </c>
      <c r="F55" s="306" t="s">
        <v>71</v>
      </c>
      <c r="G55" s="296"/>
      <c r="H55" s="308" t="s">
        <v>71</v>
      </c>
      <c r="I55" s="485" t="str">
        <f>I24</f>
        <v>Esquadrias Externas</v>
      </c>
      <c r="J55" s="288" t="s">
        <v>83</v>
      </c>
      <c r="K55" s="339">
        <f>'Metragem por Localidade'!$M$5</f>
        <v>0</v>
      </c>
      <c r="L55" s="486">
        <f>SUM(K55:K57)</f>
        <v>183.29</v>
      </c>
      <c r="M55" s="270">
        <f>1/15</f>
        <v>6.6666666666666666E-2</v>
      </c>
      <c r="N55" s="210">
        <v>160</v>
      </c>
      <c r="O55" s="270">
        <f t="shared" si="9"/>
        <v>0</v>
      </c>
      <c r="P55" s="359">
        <f t="shared" si="8"/>
        <v>0</v>
      </c>
      <c r="Q55" s="271"/>
      <c r="S55" s="252"/>
    </row>
    <row r="56" spans="2:19" ht="15.6">
      <c r="B56" s="208"/>
      <c r="C56" s="296"/>
      <c r="D56" s="296"/>
      <c r="E56" s="210"/>
      <c r="F56" s="306"/>
      <c r="G56" s="296"/>
      <c r="H56" s="308"/>
      <c r="I56" s="485"/>
      <c r="J56" s="288" t="s">
        <v>84</v>
      </c>
      <c r="K56" s="339">
        <f>'Metragem por Localidade'!$N$5</f>
        <v>0</v>
      </c>
      <c r="L56" s="486"/>
      <c r="M56" s="270">
        <f>1/15</f>
        <v>6.6666666666666666E-2</v>
      </c>
      <c r="N56" s="210">
        <v>380</v>
      </c>
      <c r="O56" s="270">
        <f t="shared" si="9"/>
        <v>0</v>
      </c>
      <c r="P56" s="359">
        <f t="shared" si="8"/>
        <v>0</v>
      </c>
      <c r="Q56" s="271"/>
      <c r="S56" s="252"/>
    </row>
    <row r="57" spans="2:19" ht="15.6">
      <c r="B57" s="208"/>
      <c r="C57" s="296"/>
      <c r="D57" s="296"/>
      <c r="E57" s="210"/>
      <c r="F57" s="306"/>
      <c r="G57" s="296"/>
      <c r="H57" s="308"/>
      <c r="I57" s="485"/>
      <c r="J57" s="288" t="s">
        <v>85</v>
      </c>
      <c r="K57" s="339">
        <f>'Metragem por Localidade'!$O$5</f>
        <v>183.29</v>
      </c>
      <c r="L57" s="486"/>
      <c r="M57" s="270">
        <f>1/5</f>
        <v>0.2</v>
      </c>
      <c r="N57" s="210">
        <v>300</v>
      </c>
      <c r="O57" s="270">
        <f t="shared" si="9"/>
        <v>0.12219333333333333</v>
      </c>
      <c r="P57" s="359">
        <f t="shared" si="8"/>
        <v>6.9772498980525524E-2</v>
      </c>
      <c r="Q57" s="271"/>
      <c r="R57" t="s">
        <v>90</v>
      </c>
      <c r="S57" s="252"/>
    </row>
    <row r="58" spans="2:19" ht="15.6">
      <c r="B58" s="208"/>
      <c r="C58" s="296"/>
      <c r="D58" s="296"/>
      <c r="E58" s="210"/>
      <c r="F58" s="306"/>
      <c r="G58" s="296"/>
      <c r="H58" s="308"/>
      <c r="I58" s="281" t="s">
        <v>86</v>
      </c>
      <c r="J58" s="290" t="s">
        <v>87</v>
      </c>
      <c r="K58" s="340">
        <f>'Metragem por Localidade'!$P$5</f>
        <v>0</v>
      </c>
      <c r="L58" s="282">
        <f>K58</f>
        <v>0</v>
      </c>
      <c r="M58" s="210"/>
      <c r="N58" s="210">
        <v>130</v>
      </c>
      <c r="O58" s="270">
        <f t="shared" si="9"/>
        <v>0</v>
      </c>
      <c r="P58" s="359">
        <f t="shared" si="8"/>
        <v>0</v>
      </c>
      <c r="Q58" s="271"/>
      <c r="S58" s="252"/>
    </row>
    <row r="59" spans="2:19" ht="15.6">
      <c r="B59" s="208" t="s">
        <v>71</v>
      </c>
      <c r="C59" s="296" t="s">
        <v>71</v>
      </c>
      <c r="D59" s="296"/>
      <c r="E59" s="210" t="str">
        <f t="shared" si="2"/>
        <v/>
      </c>
      <c r="F59" s="306" t="s">
        <v>71</v>
      </c>
      <c r="G59" s="296"/>
      <c r="H59" s="308" t="s">
        <v>71</v>
      </c>
      <c r="I59" s="272" t="s">
        <v>88</v>
      </c>
      <c r="J59" s="272"/>
      <c r="K59" s="272"/>
      <c r="L59" s="301">
        <f>SUM(L47:L58)</f>
        <v>1596.97</v>
      </c>
      <c r="M59" s="274"/>
      <c r="N59" s="274"/>
      <c r="O59" s="275">
        <f>SUM(O47:O58)</f>
        <v>1.7513108333333336</v>
      </c>
      <c r="P59" s="357">
        <f>SUM(P47:P58)</f>
        <v>0.99999999999999978</v>
      </c>
      <c r="Q59" s="276"/>
      <c r="S59" s="252"/>
    </row>
    <row r="60" spans="2:19" ht="15.6">
      <c r="B60" s="209" t="s">
        <v>71</v>
      </c>
      <c r="C60" s="309" t="s">
        <v>71</v>
      </c>
      <c r="D60" s="309"/>
      <c r="E60" s="310" t="str">
        <f t="shared" si="2"/>
        <v/>
      </c>
      <c r="F60" s="311" t="s">
        <v>71</v>
      </c>
      <c r="G60" s="309"/>
      <c r="H60" s="206">
        <v>3</v>
      </c>
      <c r="I60" s="277" t="s">
        <v>58</v>
      </c>
      <c r="J60" s="277"/>
      <c r="K60" s="277"/>
      <c r="L60" s="277"/>
      <c r="M60" s="279"/>
      <c r="N60" s="279"/>
      <c r="O60" s="279"/>
      <c r="P60" s="277"/>
      <c r="Q60" s="280">
        <f>G47/L59</f>
        <v>6.1366226279232938</v>
      </c>
      <c r="S60" s="252"/>
    </row>
    <row r="61" spans="2:19" ht="15.6">
      <c r="B61" s="210" t="s">
        <v>71</v>
      </c>
      <c r="C61" s="98" t="s">
        <v>71</v>
      </c>
      <c r="D61" s="98"/>
      <c r="E61" s="104" t="str">
        <f t="shared" si="2"/>
        <v/>
      </c>
      <c r="F61" s="139" t="s">
        <v>71</v>
      </c>
      <c r="G61" s="98"/>
      <c r="H61" s="107" t="s">
        <v>71</v>
      </c>
      <c r="I61" s="98"/>
      <c r="J61" s="98"/>
      <c r="K61" s="98"/>
      <c r="L61" s="98"/>
      <c r="M61" s="104"/>
      <c r="N61" s="104"/>
      <c r="O61" s="104"/>
      <c r="P61" s="98"/>
      <c r="Q61" s="98"/>
      <c r="S61" s="252"/>
    </row>
  </sheetData>
  <mergeCells count="28">
    <mergeCell ref="I47:I51"/>
    <mergeCell ref="L47:L51"/>
    <mergeCell ref="I52:I54"/>
    <mergeCell ref="L52:L54"/>
    <mergeCell ref="I55:I57"/>
    <mergeCell ref="L55:L57"/>
    <mergeCell ref="D11:Q11"/>
    <mergeCell ref="D12:I12"/>
    <mergeCell ref="D4:Q4"/>
    <mergeCell ref="B5:B6"/>
    <mergeCell ref="C5:C6"/>
    <mergeCell ref="D5:Q6"/>
    <mergeCell ref="D7:Q7"/>
    <mergeCell ref="B8:B10"/>
    <mergeCell ref="C8:C10"/>
    <mergeCell ref="D8:Q10"/>
    <mergeCell ref="I16:I20"/>
    <mergeCell ref="L16:L20"/>
    <mergeCell ref="I21:I23"/>
    <mergeCell ref="L21:L23"/>
    <mergeCell ref="I24:I26"/>
    <mergeCell ref="L24:L26"/>
    <mergeCell ref="I31:I35"/>
    <mergeCell ref="L31:L35"/>
    <mergeCell ref="I36:I38"/>
    <mergeCell ref="L36:L38"/>
    <mergeCell ref="I39:I41"/>
    <mergeCell ref="L39:L41"/>
  </mergeCells>
  <pageMargins left="0.25" right="0.25" top="0.75" bottom="0.75" header="0.3" footer="0.3"/>
  <pageSetup paperSize="9" scale="41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"/>
  <sheetViews>
    <sheetView topLeftCell="A2" workbookViewId="0">
      <selection activeCell="A5" sqref="A5"/>
    </sheetView>
  </sheetViews>
  <sheetFormatPr defaultRowHeight="13.2"/>
  <cols>
    <col min="2" max="2" width="29.109375" customWidth="1"/>
    <col min="3" max="3" width="12.88671875" bestFit="1" customWidth="1"/>
    <col min="4" max="4" width="12.109375" bestFit="1" customWidth="1"/>
    <col min="5" max="5" width="12.44140625" customWidth="1"/>
    <col min="6" max="6" width="13" bestFit="1" customWidth="1"/>
    <col min="7" max="7" width="13" customWidth="1"/>
    <col min="8" max="8" width="18.88671875" customWidth="1"/>
    <col min="9" max="9" width="13" customWidth="1"/>
    <col min="10" max="10" width="16" customWidth="1"/>
    <col min="11" max="11" width="21" customWidth="1"/>
    <col min="12" max="12" width="16.33203125" customWidth="1"/>
    <col min="13" max="13" width="16.6640625" customWidth="1"/>
    <col min="14" max="15" width="18" customWidth="1"/>
    <col min="16" max="16" width="16.88671875" customWidth="1"/>
  </cols>
  <sheetData>
    <row r="1" spans="1:16" ht="43.5" customHeight="1">
      <c r="A1" s="490" t="s">
        <v>17</v>
      </c>
      <c r="B1" s="499" t="s">
        <v>91</v>
      </c>
      <c r="C1" s="501" t="s">
        <v>92</v>
      </c>
      <c r="D1" s="501" t="s">
        <v>93</v>
      </c>
      <c r="E1" s="492" t="s">
        <v>94</v>
      </c>
      <c r="F1" s="493"/>
      <c r="G1" s="493"/>
      <c r="H1" s="493"/>
      <c r="I1" s="494"/>
      <c r="J1" s="495" t="s">
        <v>95</v>
      </c>
      <c r="K1" s="495"/>
      <c r="L1" s="496"/>
      <c r="M1" s="503" t="s">
        <v>96</v>
      </c>
      <c r="N1" s="503"/>
      <c r="O1" s="504"/>
      <c r="P1" s="497" t="s">
        <v>97</v>
      </c>
    </row>
    <row r="2" spans="1:16" ht="78">
      <c r="A2" s="491"/>
      <c r="B2" s="500"/>
      <c r="C2" s="502"/>
      <c r="D2" s="502"/>
      <c r="E2" s="317" t="s">
        <v>98</v>
      </c>
      <c r="F2" s="322" t="s">
        <v>99</v>
      </c>
      <c r="G2" s="322" t="s">
        <v>100</v>
      </c>
      <c r="H2" s="322" t="s">
        <v>101</v>
      </c>
      <c r="I2" s="322" t="s">
        <v>76</v>
      </c>
      <c r="J2" s="323" t="s">
        <v>102</v>
      </c>
      <c r="K2" s="323" t="s">
        <v>80</v>
      </c>
      <c r="L2" s="323" t="s">
        <v>103</v>
      </c>
      <c r="M2" s="318" t="s">
        <v>104</v>
      </c>
      <c r="N2" s="319" t="s">
        <v>105</v>
      </c>
      <c r="O2" s="320" t="s">
        <v>106</v>
      </c>
      <c r="P2" s="498"/>
    </row>
    <row r="3" spans="1:16" ht="46.8">
      <c r="A3" s="324">
        <v>1</v>
      </c>
      <c r="B3" s="325" t="str">
        <f>'Produtividade X Custos Resumo'!B2</f>
        <v>Superintendência Regional de Administração em Goiás e Tocantins</v>
      </c>
      <c r="C3" s="326" t="s">
        <v>107</v>
      </c>
      <c r="D3" s="399">
        <f>SUM(E3:P3)</f>
        <v>801.95</v>
      </c>
      <c r="E3" s="419">
        <v>0</v>
      </c>
      <c r="F3" s="420">
        <v>433.39</v>
      </c>
      <c r="G3" s="420">
        <v>15.18</v>
      </c>
      <c r="H3" s="420">
        <v>121.78</v>
      </c>
      <c r="I3" s="421">
        <v>2.7</v>
      </c>
      <c r="J3" s="419">
        <v>0</v>
      </c>
      <c r="K3" s="420">
        <v>0</v>
      </c>
      <c r="L3" s="421">
        <v>0</v>
      </c>
      <c r="M3" s="419">
        <v>0</v>
      </c>
      <c r="N3" s="419">
        <v>0</v>
      </c>
      <c r="O3" s="419">
        <v>0</v>
      </c>
      <c r="P3" s="420">
        <v>228.9</v>
      </c>
    </row>
    <row r="4" spans="1:16" ht="31.2">
      <c r="A4" s="327">
        <v>2</v>
      </c>
      <c r="B4" s="328" t="str">
        <f>'Produtividade X Custos Resumo'!B3</f>
        <v>Procuradoria da Fazenda Nacional em Goiás</v>
      </c>
      <c r="C4" s="329" t="s">
        <v>108</v>
      </c>
      <c r="D4" s="400">
        <f>SUM(E4:P4)</f>
        <v>8246.5300000000007</v>
      </c>
      <c r="E4" s="401">
        <v>0</v>
      </c>
      <c r="F4" s="402">
        <v>6458.16</v>
      </c>
      <c r="G4" s="402">
        <v>0</v>
      </c>
      <c r="H4" s="402">
        <v>797.59</v>
      </c>
      <c r="I4" s="403">
        <v>274.91000000000003</v>
      </c>
      <c r="J4" s="404">
        <v>110.18</v>
      </c>
      <c r="K4" s="405">
        <v>428.37</v>
      </c>
      <c r="L4" s="400">
        <v>22.04</v>
      </c>
      <c r="M4" s="406">
        <v>0</v>
      </c>
      <c r="N4" s="407">
        <v>0</v>
      </c>
      <c r="O4" s="408">
        <v>0</v>
      </c>
      <c r="P4" s="408">
        <v>155.28</v>
      </c>
    </row>
    <row r="5" spans="1:16" ht="46.8">
      <c r="A5" s="330">
        <v>3</v>
      </c>
      <c r="B5" s="331" t="str">
        <f>'Produtividade X Custos Resumo'!B4</f>
        <v>Superintendência do Patrimônio da União em Goiás</v>
      </c>
      <c r="C5" s="332" t="s">
        <v>109</v>
      </c>
      <c r="D5" s="409">
        <f>SUM(E5:P5)</f>
        <v>1596.97</v>
      </c>
      <c r="E5" s="422">
        <v>0</v>
      </c>
      <c r="F5" s="423">
        <v>786.87</v>
      </c>
      <c r="G5" s="423">
        <v>33.799999999999997</v>
      </c>
      <c r="H5" s="423">
        <v>240.8</v>
      </c>
      <c r="I5" s="424">
        <v>46.7</v>
      </c>
      <c r="J5" s="422">
        <v>0</v>
      </c>
      <c r="K5" s="423">
        <v>0</v>
      </c>
      <c r="L5" s="424">
        <v>305.51</v>
      </c>
      <c r="M5" s="422">
        <v>0</v>
      </c>
      <c r="N5" s="423">
        <v>0</v>
      </c>
      <c r="O5" s="423">
        <v>183.29</v>
      </c>
      <c r="P5" s="420">
        <v>0</v>
      </c>
    </row>
    <row r="6" spans="1:16" ht="15.6">
      <c r="A6" s="321"/>
      <c r="B6" s="333" t="s">
        <v>110</v>
      </c>
      <c r="C6" s="334"/>
      <c r="D6" s="410">
        <f>SUM(D3:D5)</f>
        <v>10645.45</v>
      </c>
      <c r="E6" s="411"/>
      <c r="F6" s="411"/>
      <c r="G6" s="411"/>
      <c r="H6" s="411"/>
      <c r="I6" s="412"/>
      <c r="J6" s="413"/>
      <c r="K6" s="413"/>
      <c r="L6" s="413"/>
      <c r="M6" s="413"/>
      <c r="N6" s="413"/>
      <c r="O6" s="413"/>
      <c r="P6" s="414"/>
    </row>
    <row r="8" spans="1:16">
      <c r="C8" s="23"/>
    </row>
    <row r="9" spans="1:16">
      <c r="C9" s="23"/>
    </row>
  </sheetData>
  <mergeCells count="8">
    <mergeCell ref="A1:A2"/>
    <mergeCell ref="E1:I1"/>
    <mergeCell ref="J1:L1"/>
    <mergeCell ref="P1:P2"/>
    <mergeCell ref="B1:B2"/>
    <mergeCell ref="C1:C2"/>
    <mergeCell ref="D1:D2"/>
    <mergeCell ref="M1:O1"/>
  </mergeCells>
  <pageMargins left="0.511811024" right="0.511811024" top="0.78740157499999996" bottom="0.78740157499999996" header="0.31496062000000002" footer="0.31496062000000002"/>
  <pageSetup paperSize="9" scale="94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1"/>
  <sheetViews>
    <sheetView workbookViewId="0">
      <selection activeCell="G9" sqref="G9"/>
    </sheetView>
  </sheetViews>
  <sheetFormatPr defaultRowHeight="13.2"/>
  <cols>
    <col min="2" max="2" width="41.33203125" customWidth="1"/>
    <col min="3" max="3" width="11.6640625" customWidth="1"/>
    <col min="4" max="4" width="12.6640625" bestFit="1" customWidth="1"/>
    <col min="5" max="5" width="33.109375" customWidth="1"/>
    <col min="7" max="7" width="25.88671875" customWidth="1"/>
    <col min="8" max="8" width="24.109375" customWidth="1"/>
    <col min="9" max="9" width="24.44140625" customWidth="1"/>
  </cols>
  <sheetData>
    <row r="1" spans="1:9" ht="46.8">
      <c r="A1" s="95" t="s">
        <v>60</v>
      </c>
      <c r="B1" s="95" t="s">
        <v>61</v>
      </c>
      <c r="C1" s="95" t="s">
        <v>58</v>
      </c>
      <c r="D1" s="95" t="s">
        <v>93</v>
      </c>
      <c r="E1" s="95" t="s">
        <v>111</v>
      </c>
      <c r="F1" s="95" t="s">
        <v>112</v>
      </c>
      <c r="G1" s="95" t="s">
        <v>113</v>
      </c>
      <c r="H1" s="95" t="s">
        <v>114</v>
      </c>
      <c r="I1" s="95" t="s">
        <v>115</v>
      </c>
    </row>
    <row r="2" spans="1:9" ht="31.2">
      <c r="A2" s="210">
        <v>1</v>
      </c>
      <c r="B2" s="312" t="str">
        <f>'BASE-Endereços e Contatos'!B5</f>
        <v>Superintendência Regional de Administração em Goiás e Tocantins</v>
      </c>
      <c r="C2" s="313">
        <f>VLOOKUP($A2,'Produtividade X Postos'!$H$16:$Q$60,10,0)</f>
        <v>6.1101080105459591</v>
      </c>
      <c r="D2" s="314">
        <f>VLOOKUP($A2,'Metragem por Localidade'!$A:$M,4,0)</f>
        <v>801.95</v>
      </c>
      <c r="E2" s="313">
        <f>C2*D2</f>
        <v>4900.0011190573323</v>
      </c>
      <c r="F2" s="210">
        <f>IF($A2="","",VLOOKUP($A2,'PROPOSTA RESUMO'!$B$25:$H$27,4,0))</f>
        <v>1</v>
      </c>
      <c r="G2" s="315">
        <f>VLOOKUP($A2,'PROPOSTA RESUMO'!$B$17:$H$48,5,0)</f>
        <v>4900.0011190573314</v>
      </c>
      <c r="H2" s="307">
        <f>F2*G2</f>
        <v>4900.0011190573314</v>
      </c>
      <c r="I2" s="307">
        <f>H2-E2</f>
        <v>0</v>
      </c>
    </row>
    <row r="3" spans="1:9" ht="31.2">
      <c r="A3" s="210">
        <v>2</v>
      </c>
      <c r="B3" s="312" t="str">
        <f>'BASE-Endereços e Contatos'!B6</f>
        <v>Procuradoria da Fazenda Nacional em Goiás</v>
      </c>
      <c r="C3" s="313">
        <f>VLOOKUP($A3,'Produtividade X Postos'!$H$16:$Q$60,10,0)</f>
        <v>4.159326144863515</v>
      </c>
      <c r="D3" s="314">
        <f>VLOOKUP($A3,'Metragem por Localidade'!$A:$M,4,0)</f>
        <v>8246.5300000000007</v>
      </c>
      <c r="E3" s="313">
        <f>C3*D3</f>
        <v>34300.007833401323</v>
      </c>
      <c r="F3" s="210">
        <f>IF($A3="","",VLOOKUP($A3,'PROPOSTA RESUMO'!$B$25:$H$27,4,0))</f>
        <v>7</v>
      </c>
      <c r="G3" s="315">
        <f>VLOOKUP($A3,'PROPOSTA RESUMO'!$B$17:$H$48,5,0)</f>
        <v>4900.0011190573314</v>
      </c>
      <c r="H3" s="307">
        <f>F3*G3</f>
        <v>34300.007833401323</v>
      </c>
      <c r="I3" s="307">
        <f>H3-E3</f>
        <v>0</v>
      </c>
    </row>
    <row r="4" spans="1:9" ht="31.2">
      <c r="A4" s="210">
        <v>3</v>
      </c>
      <c r="B4" s="312" t="str">
        <f>'BASE-Endereços e Contatos'!B7</f>
        <v>Superintendência do Patrimônio da União em Goiás</v>
      </c>
      <c r="C4" s="313">
        <f>VLOOKUP($A4,'Produtividade X Postos'!$H$16:$Q$60,10,0)</f>
        <v>6.1366226279232938</v>
      </c>
      <c r="D4" s="314">
        <f>VLOOKUP($A4,'Metragem por Localidade'!$A:$M,4,0)</f>
        <v>1596.97</v>
      </c>
      <c r="E4" s="313">
        <f t="shared" ref="E4" si="0">C4*D4</f>
        <v>9800.0022381146628</v>
      </c>
      <c r="F4" s="210">
        <f>IF($A4="","",VLOOKUP($A4,'PROPOSTA RESUMO'!$B$25:$H$27,4,0))</f>
        <v>2</v>
      </c>
      <c r="G4" s="315">
        <f>VLOOKUP($A4,'PROPOSTA RESUMO'!$B$17:$H$48,5,0)</f>
        <v>4900.0011190573314</v>
      </c>
      <c r="H4" s="307">
        <f t="shared" ref="H4" si="1">F4*G4</f>
        <v>9800.0022381146628</v>
      </c>
      <c r="I4" s="307">
        <f t="shared" ref="I4" si="2">H4-E4</f>
        <v>0</v>
      </c>
    </row>
    <row r="5" spans="1:9" ht="15.6">
      <c r="A5" s="104"/>
      <c r="B5" s="98"/>
      <c r="C5" s="131"/>
      <c r="D5" s="132"/>
      <c r="E5" s="131"/>
      <c r="F5" s="104"/>
      <c r="G5" s="105"/>
      <c r="H5" s="106"/>
      <c r="I5" s="106"/>
    </row>
    <row r="6" spans="1:9" ht="15.6">
      <c r="A6" s="98"/>
      <c r="B6" s="98"/>
      <c r="C6" s="98"/>
      <c r="D6" s="98"/>
      <c r="E6" s="106"/>
      <c r="F6" s="98"/>
      <c r="G6" s="106"/>
      <c r="H6" s="106"/>
      <c r="I6" s="106"/>
    </row>
    <row r="7" spans="1:9" ht="15.6">
      <c r="A7" s="98"/>
      <c r="B7" s="98"/>
      <c r="C7" s="98"/>
      <c r="D7" s="98"/>
      <c r="E7" s="106"/>
      <c r="F7" s="98"/>
      <c r="G7" s="98"/>
      <c r="H7" s="98"/>
      <c r="I7" s="106"/>
    </row>
    <row r="8" spans="1:9" ht="15.6">
      <c r="A8" s="98"/>
      <c r="B8" s="98"/>
      <c r="C8" s="98"/>
      <c r="E8" s="109"/>
      <c r="F8" s="98"/>
      <c r="G8" s="98"/>
      <c r="H8" s="98"/>
      <c r="I8" s="98"/>
    </row>
    <row r="9" spans="1:9" ht="15.6">
      <c r="A9" s="98"/>
      <c r="B9" s="98"/>
      <c r="C9" s="133"/>
      <c r="D9" s="134"/>
      <c r="E9" s="131"/>
      <c r="F9" s="98"/>
      <c r="G9" s="98"/>
      <c r="H9" s="98"/>
      <c r="I9" s="98"/>
    </row>
    <row r="10" spans="1:9" ht="15.6">
      <c r="A10" s="98"/>
      <c r="B10" s="98"/>
      <c r="C10" s="98"/>
      <c r="D10" s="98"/>
      <c r="E10" s="98"/>
      <c r="F10" s="104"/>
      <c r="G10" s="98"/>
      <c r="H10" s="98"/>
      <c r="I10" s="98"/>
    </row>
    <row r="11" spans="1:9" ht="15.6">
      <c r="A11" s="98"/>
      <c r="B11" s="108"/>
      <c r="C11" s="108"/>
      <c r="D11" s="108"/>
      <c r="E11" s="109"/>
      <c r="F11" s="108"/>
      <c r="G11" s="108"/>
      <c r="H11" s="109"/>
      <c r="I11" s="98"/>
    </row>
  </sheetData>
  <pageMargins left="0.25" right="0.25" top="0.75" bottom="0.75" header="0.3" footer="0.3"/>
  <pageSetup paperSize="9" scale="75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M106"/>
  <sheetViews>
    <sheetView topLeftCell="A41" workbookViewId="0">
      <selection activeCell="F21" sqref="F21"/>
    </sheetView>
  </sheetViews>
  <sheetFormatPr defaultRowHeight="13.2"/>
  <cols>
    <col min="1" max="1" width="4.109375" customWidth="1"/>
    <col min="2" max="2" width="42.44140625" customWidth="1"/>
    <col min="3" max="6" width="15.109375" customWidth="1"/>
    <col min="7" max="7" width="14.109375" customWidth="1"/>
    <col min="8" max="8" width="15.5546875" customWidth="1"/>
    <col min="9" max="9" width="12.88671875" customWidth="1"/>
    <col min="10" max="10" width="21.44140625" customWidth="1"/>
  </cols>
  <sheetData>
    <row r="1" spans="1:9" ht="72.75" customHeight="1">
      <c r="A1" s="78" t="s">
        <v>17</v>
      </c>
      <c r="B1" s="79" t="s">
        <v>116</v>
      </c>
      <c r="C1" s="79" t="s">
        <v>117</v>
      </c>
      <c r="D1" s="79" t="s">
        <v>118</v>
      </c>
      <c r="E1" s="79" t="s">
        <v>119</v>
      </c>
      <c r="F1" s="79" t="s">
        <v>120</v>
      </c>
      <c r="G1" s="79" t="s">
        <v>121</v>
      </c>
      <c r="H1" s="79" t="s">
        <v>122</v>
      </c>
      <c r="I1" s="79" t="s">
        <v>123</v>
      </c>
    </row>
    <row r="2" spans="1:9" ht="27">
      <c r="A2" s="70">
        <v>1</v>
      </c>
      <c r="B2" s="239" t="s">
        <v>124</v>
      </c>
      <c r="C2" s="392" t="s">
        <v>125</v>
      </c>
      <c r="D2" s="398">
        <v>5</v>
      </c>
      <c r="E2" s="73">
        <v>22</v>
      </c>
      <c r="F2" s="415">
        <v>5</v>
      </c>
      <c r="G2" s="73">
        <f>SUM(D2:F2)</f>
        <v>32</v>
      </c>
      <c r="H2" s="394">
        <v>2.1</v>
      </c>
      <c r="I2" s="77">
        <f>G2*H2</f>
        <v>67.2</v>
      </c>
    </row>
    <row r="3" spans="1:9" ht="14.4">
      <c r="A3" s="70">
        <v>2</v>
      </c>
      <c r="B3" s="239" t="s">
        <v>126</v>
      </c>
      <c r="C3" s="393" t="s">
        <v>125</v>
      </c>
      <c r="D3" s="398">
        <v>10</v>
      </c>
      <c r="E3" s="73">
        <v>40</v>
      </c>
      <c r="F3" s="416">
        <v>8</v>
      </c>
      <c r="G3" s="73">
        <f t="shared" ref="G3:G32" si="0">SUM(D3:F3)</f>
        <v>58</v>
      </c>
      <c r="H3" s="394">
        <v>11.82</v>
      </c>
      <c r="I3" s="77">
        <f t="shared" ref="I3:I32" si="1">G3*H3</f>
        <v>685.56000000000006</v>
      </c>
    </row>
    <row r="4" spans="1:9" ht="14.4">
      <c r="A4" s="70">
        <v>3</v>
      </c>
      <c r="B4" s="239" t="s">
        <v>127</v>
      </c>
      <c r="C4" s="393" t="s">
        <v>125</v>
      </c>
      <c r="D4" s="398">
        <v>10</v>
      </c>
      <c r="E4" s="73">
        <v>40</v>
      </c>
      <c r="F4" s="416">
        <v>0</v>
      </c>
      <c r="G4" s="73">
        <f t="shared" si="0"/>
        <v>50</v>
      </c>
      <c r="H4" s="394">
        <v>6.8</v>
      </c>
      <c r="I4" s="77">
        <f t="shared" si="1"/>
        <v>340</v>
      </c>
    </row>
    <row r="5" spans="1:9" ht="27">
      <c r="A5" s="70">
        <v>4</v>
      </c>
      <c r="B5" s="239" t="s">
        <v>128</v>
      </c>
      <c r="C5" s="393" t="s">
        <v>125</v>
      </c>
      <c r="D5" s="398">
        <v>3</v>
      </c>
      <c r="E5" s="73">
        <v>15</v>
      </c>
      <c r="F5" s="416">
        <v>5</v>
      </c>
      <c r="G5" s="73">
        <f t="shared" si="0"/>
        <v>23</v>
      </c>
      <c r="H5" s="395">
        <v>8.3000000000000007</v>
      </c>
      <c r="I5" s="77">
        <f t="shared" si="1"/>
        <v>190.9</v>
      </c>
    </row>
    <row r="6" spans="1:9" ht="14.4">
      <c r="A6" s="70">
        <v>5</v>
      </c>
      <c r="B6" s="239" t="s">
        <v>129</v>
      </c>
      <c r="C6" s="393" t="s">
        <v>125</v>
      </c>
      <c r="D6" s="398">
        <v>10</v>
      </c>
      <c r="E6" s="73">
        <v>45</v>
      </c>
      <c r="F6" s="416">
        <v>10</v>
      </c>
      <c r="G6" s="73">
        <f t="shared" si="0"/>
        <v>65</v>
      </c>
      <c r="H6" s="395">
        <v>10.85</v>
      </c>
      <c r="I6" s="77">
        <f t="shared" si="1"/>
        <v>705.25</v>
      </c>
    </row>
    <row r="7" spans="1:9" ht="40.200000000000003">
      <c r="A7" s="70">
        <v>6</v>
      </c>
      <c r="B7" s="239" t="s">
        <v>130</v>
      </c>
      <c r="C7" s="393" t="s">
        <v>125</v>
      </c>
      <c r="D7" s="398">
        <v>3</v>
      </c>
      <c r="E7" s="73">
        <v>15</v>
      </c>
      <c r="F7" s="416">
        <v>5</v>
      </c>
      <c r="G7" s="73">
        <f t="shared" si="0"/>
        <v>23</v>
      </c>
      <c r="H7" s="396">
        <v>7.87</v>
      </c>
      <c r="I7" s="77">
        <f t="shared" si="1"/>
        <v>181.01</v>
      </c>
    </row>
    <row r="8" spans="1:9" ht="27">
      <c r="A8" s="70">
        <v>7</v>
      </c>
      <c r="B8" s="239" t="s">
        <v>131</v>
      </c>
      <c r="C8" s="393" t="s">
        <v>20</v>
      </c>
      <c r="D8" s="398">
        <v>3</v>
      </c>
      <c r="E8" s="73">
        <v>12</v>
      </c>
      <c r="F8" s="416">
        <v>2</v>
      </c>
      <c r="G8" s="73">
        <f t="shared" si="0"/>
        <v>17</v>
      </c>
      <c r="H8" s="397">
        <v>10.050000000000001</v>
      </c>
      <c r="I8" s="77">
        <f t="shared" si="1"/>
        <v>170.85000000000002</v>
      </c>
    </row>
    <row r="9" spans="1:9" ht="27">
      <c r="A9" s="70">
        <v>8</v>
      </c>
      <c r="B9" s="239" t="s">
        <v>132</v>
      </c>
      <c r="C9" s="393" t="s">
        <v>125</v>
      </c>
      <c r="D9" s="398">
        <v>5</v>
      </c>
      <c r="E9" s="73">
        <v>20</v>
      </c>
      <c r="F9" s="416">
        <v>0</v>
      </c>
      <c r="G9" s="73">
        <f t="shared" si="0"/>
        <v>25</v>
      </c>
      <c r="H9" s="397">
        <v>12.24</v>
      </c>
      <c r="I9" s="77">
        <f t="shared" si="1"/>
        <v>306</v>
      </c>
    </row>
    <row r="10" spans="1:9" ht="14.4">
      <c r="A10" s="70">
        <v>9</v>
      </c>
      <c r="B10" s="239" t="s">
        <v>133</v>
      </c>
      <c r="C10" s="393" t="s">
        <v>20</v>
      </c>
      <c r="D10" s="398">
        <v>2</v>
      </c>
      <c r="E10" s="73">
        <v>8</v>
      </c>
      <c r="F10" s="416">
        <v>1</v>
      </c>
      <c r="G10" s="73">
        <f t="shared" si="0"/>
        <v>11</v>
      </c>
      <c r="H10" s="394">
        <v>26.7</v>
      </c>
      <c r="I10" s="77">
        <f t="shared" si="1"/>
        <v>293.7</v>
      </c>
    </row>
    <row r="11" spans="1:9" ht="14.4">
      <c r="A11" s="70">
        <v>10</v>
      </c>
      <c r="B11" s="239" t="s">
        <v>134</v>
      </c>
      <c r="C11" s="393" t="s">
        <v>135</v>
      </c>
      <c r="D11" s="398">
        <v>4</v>
      </c>
      <c r="E11" s="73">
        <v>18</v>
      </c>
      <c r="F11" s="416">
        <v>0</v>
      </c>
      <c r="G11" s="73">
        <f t="shared" si="0"/>
        <v>22</v>
      </c>
      <c r="H11" s="395">
        <v>2</v>
      </c>
      <c r="I11" s="77">
        <f t="shared" si="1"/>
        <v>44</v>
      </c>
    </row>
    <row r="12" spans="1:9" ht="27">
      <c r="A12" s="70">
        <v>11</v>
      </c>
      <c r="B12" s="239" t="s">
        <v>136</v>
      </c>
      <c r="C12" s="393" t="s">
        <v>20</v>
      </c>
      <c r="D12" s="398">
        <v>4</v>
      </c>
      <c r="E12" s="73">
        <v>16</v>
      </c>
      <c r="F12" s="416">
        <v>2</v>
      </c>
      <c r="G12" s="73">
        <f t="shared" si="0"/>
        <v>22</v>
      </c>
      <c r="H12" s="395">
        <v>1.1000000000000001</v>
      </c>
      <c r="I12" s="77">
        <f t="shared" si="1"/>
        <v>24.200000000000003</v>
      </c>
    </row>
    <row r="13" spans="1:9" ht="14.4">
      <c r="A13" s="70">
        <v>12</v>
      </c>
      <c r="B13" s="239" t="s">
        <v>137</v>
      </c>
      <c r="C13" s="393" t="s">
        <v>20</v>
      </c>
      <c r="D13" s="398">
        <v>4</v>
      </c>
      <c r="E13" s="73">
        <v>16</v>
      </c>
      <c r="F13" s="416">
        <v>4</v>
      </c>
      <c r="G13" s="73">
        <f t="shared" si="0"/>
        <v>24</v>
      </c>
      <c r="H13" s="395">
        <v>2.0099999999999998</v>
      </c>
      <c r="I13" s="77">
        <f t="shared" si="1"/>
        <v>48.239999999999995</v>
      </c>
    </row>
    <row r="14" spans="1:9" ht="27">
      <c r="A14" s="70">
        <v>13</v>
      </c>
      <c r="B14" s="239" t="s">
        <v>138</v>
      </c>
      <c r="C14" s="393" t="s">
        <v>20</v>
      </c>
      <c r="D14" s="398">
        <v>6</v>
      </c>
      <c r="E14" s="73">
        <v>24</v>
      </c>
      <c r="F14" s="416">
        <v>1</v>
      </c>
      <c r="G14" s="73">
        <f t="shared" si="0"/>
        <v>31</v>
      </c>
      <c r="H14" s="395">
        <v>2.77</v>
      </c>
      <c r="I14" s="77">
        <f t="shared" si="1"/>
        <v>85.87</v>
      </c>
    </row>
    <row r="15" spans="1:9" ht="23.25" customHeight="1">
      <c r="A15" s="70">
        <v>14</v>
      </c>
      <c r="B15" s="241" t="s">
        <v>139</v>
      </c>
      <c r="C15" s="393" t="s">
        <v>125</v>
      </c>
      <c r="D15" s="398">
        <v>5</v>
      </c>
      <c r="E15" s="73">
        <v>20</v>
      </c>
      <c r="F15" s="416">
        <v>0</v>
      </c>
      <c r="G15" s="73">
        <f t="shared" si="0"/>
        <v>25</v>
      </c>
      <c r="H15" s="395">
        <v>6.92</v>
      </c>
      <c r="I15" s="77">
        <f t="shared" si="1"/>
        <v>173</v>
      </c>
    </row>
    <row r="16" spans="1:9" ht="14.4">
      <c r="A16" s="70">
        <v>15</v>
      </c>
      <c r="B16" s="239" t="s">
        <v>140</v>
      </c>
      <c r="C16" s="393" t="s">
        <v>125</v>
      </c>
      <c r="D16" s="398">
        <v>10</v>
      </c>
      <c r="E16" s="73">
        <v>40</v>
      </c>
      <c r="F16" s="416">
        <v>0</v>
      </c>
      <c r="G16" s="73">
        <f t="shared" si="0"/>
        <v>50</v>
      </c>
      <c r="H16" s="395">
        <v>6.5</v>
      </c>
      <c r="I16" s="77">
        <f t="shared" si="1"/>
        <v>325</v>
      </c>
    </row>
    <row r="17" spans="1:9" ht="40.200000000000003">
      <c r="A17" s="70">
        <v>16</v>
      </c>
      <c r="B17" s="239" t="s">
        <v>141</v>
      </c>
      <c r="C17" s="393" t="s">
        <v>20</v>
      </c>
      <c r="D17" s="398">
        <v>3</v>
      </c>
      <c r="E17" s="73">
        <v>12</v>
      </c>
      <c r="F17" s="416">
        <v>1</v>
      </c>
      <c r="G17" s="73">
        <f t="shared" si="0"/>
        <v>16</v>
      </c>
      <c r="H17" s="395">
        <v>3.27</v>
      </c>
      <c r="I17" s="77">
        <f t="shared" si="1"/>
        <v>52.32</v>
      </c>
    </row>
    <row r="18" spans="1:9" ht="14.4">
      <c r="A18" s="70">
        <v>17</v>
      </c>
      <c r="B18" s="239" t="s">
        <v>142</v>
      </c>
      <c r="C18" s="393" t="s">
        <v>143</v>
      </c>
      <c r="D18" s="398">
        <v>8</v>
      </c>
      <c r="E18" s="73">
        <v>35</v>
      </c>
      <c r="F18" s="416">
        <v>3</v>
      </c>
      <c r="G18" s="73">
        <f t="shared" si="0"/>
        <v>46</v>
      </c>
      <c r="H18" s="395">
        <v>2.82</v>
      </c>
      <c r="I18" s="77">
        <f t="shared" si="1"/>
        <v>129.72</v>
      </c>
    </row>
    <row r="19" spans="1:9" ht="27">
      <c r="A19" s="70">
        <v>18</v>
      </c>
      <c r="B19" s="239" t="s">
        <v>144</v>
      </c>
      <c r="C19" s="393" t="s">
        <v>20</v>
      </c>
      <c r="D19" s="398">
        <v>5</v>
      </c>
      <c r="E19" s="73">
        <v>20</v>
      </c>
      <c r="F19" s="416">
        <v>2</v>
      </c>
      <c r="G19" s="73">
        <f t="shared" si="0"/>
        <v>27</v>
      </c>
      <c r="H19" s="395">
        <v>3.56</v>
      </c>
      <c r="I19" s="77">
        <f t="shared" si="1"/>
        <v>96.12</v>
      </c>
    </row>
    <row r="20" spans="1:9" ht="66.599999999999994">
      <c r="A20" s="70">
        <v>19</v>
      </c>
      <c r="B20" s="239" t="s">
        <v>145</v>
      </c>
      <c r="C20" s="393" t="s">
        <v>135</v>
      </c>
      <c r="D20" s="398">
        <v>6</v>
      </c>
      <c r="E20" s="73">
        <v>28</v>
      </c>
      <c r="F20" s="416">
        <v>4</v>
      </c>
      <c r="G20" s="73">
        <f t="shared" si="0"/>
        <v>38</v>
      </c>
      <c r="H20" s="394">
        <v>14.56</v>
      </c>
      <c r="I20" s="77">
        <f t="shared" si="1"/>
        <v>553.28</v>
      </c>
    </row>
    <row r="21" spans="1:9" ht="40.200000000000003">
      <c r="A21" s="70">
        <v>20</v>
      </c>
      <c r="B21" s="239" t="s">
        <v>146</v>
      </c>
      <c r="C21" s="393" t="s">
        <v>147</v>
      </c>
      <c r="D21" s="398">
        <v>4</v>
      </c>
      <c r="E21" s="73">
        <v>25</v>
      </c>
      <c r="F21" s="416">
        <v>0</v>
      </c>
      <c r="G21" s="73">
        <f t="shared" si="0"/>
        <v>29</v>
      </c>
      <c r="H21" s="394">
        <v>4.8</v>
      </c>
      <c r="I21" s="77">
        <f t="shared" si="1"/>
        <v>139.19999999999999</v>
      </c>
    </row>
    <row r="22" spans="1:9" ht="53.4">
      <c r="A22" s="70">
        <v>21</v>
      </c>
      <c r="B22" s="239" t="s">
        <v>148</v>
      </c>
      <c r="C22" s="393" t="s">
        <v>149</v>
      </c>
      <c r="D22" s="398">
        <v>10</v>
      </c>
      <c r="E22" s="73">
        <v>45</v>
      </c>
      <c r="F22" s="416">
        <v>2</v>
      </c>
      <c r="G22" s="73">
        <f t="shared" si="0"/>
        <v>57</v>
      </c>
      <c r="H22" s="394">
        <v>10.039999999999999</v>
      </c>
      <c r="I22" s="77">
        <f t="shared" si="1"/>
        <v>572.28</v>
      </c>
    </row>
    <row r="23" spans="1:9" ht="14.4">
      <c r="A23" s="70">
        <v>22</v>
      </c>
      <c r="B23" s="239" t="s">
        <v>150</v>
      </c>
      <c r="C23" s="393" t="s">
        <v>20</v>
      </c>
      <c r="D23" s="398">
        <v>5</v>
      </c>
      <c r="E23" s="73">
        <v>20</v>
      </c>
      <c r="F23" s="416">
        <v>5</v>
      </c>
      <c r="G23" s="73">
        <f t="shared" si="0"/>
        <v>30</v>
      </c>
      <c r="H23" s="394">
        <v>3.59</v>
      </c>
      <c r="I23" s="77">
        <f t="shared" si="1"/>
        <v>107.69999999999999</v>
      </c>
    </row>
    <row r="24" spans="1:9" ht="14.4">
      <c r="A24" s="70">
        <v>23</v>
      </c>
      <c r="B24" s="239" t="s">
        <v>151</v>
      </c>
      <c r="C24" s="393" t="s">
        <v>152</v>
      </c>
      <c r="D24" s="398">
        <v>2</v>
      </c>
      <c r="E24" s="73">
        <v>10</v>
      </c>
      <c r="F24" s="416">
        <v>2</v>
      </c>
      <c r="G24" s="73">
        <f t="shared" si="0"/>
        <v>14</v>
      </c>
      <c r="H24" s="394">
        <v>5.79</v>
      </c>
      <c r="I24" s="77">
        <f t="shared" si="1"/>
        <v>81.06</v>
      </c>
    </row>
    <row r="25" spans="1:9" ht="40.200000000000003">
      <c r="A25" s="70">
        <v>24</v>
      </c>
      <c r="B25" s="239" t="s">
        <v>153</v>
      </c>
      <c r="C25" s="393" t="s">
        <v>125</v>
      </c>
      <c r="D25" s="398">
        <v>10</v>
      </c>
      <c r="E25" s="73">
        <v>40</v>
      </c>
      <c r="F25" s="416">
        <v>2</v>
      </c>
      <c r="G25" s="73">
        <f t="shared" si="0"/>
        <v>52</v>
      </c>
      <c r="H25" s="394">
        <v>5.53</v>
      </c>
      <c r="I25" s="77">
        <f t="shared" si="1"/>
        <v>287.56</v>
      </c>
    </row>
    <row r="26" spans="1:9" ht="14.4">
      <c r="A26" s="70">
        <v>25</v>
      </c>
      <c r="B26" s="239" t="s">
        <v>154</v>
      </c>
      <c r="C26" s="393" t="s">
        <v>155</v>
      </c>
      <c r="D26" s="398">
        <v>2</v>
      </c>
      <c r="E26" s="73">
        <v>10</v>
      </c>
      <c r="F26" s="416">
        <v>1</v>
      </c>
      <c r="G26" s="73">
        <f t="shared" si="0"/>
        <v>13</v>
      </c>
      <c r="H26" s="394">
        <v>13.75</v>
      </c>
      <c r="I26" s="77">
        <f t="shared" si="1"/>
        <v>178.75</v>
      </c>
    </row>
    <row r="27" spans="1:9" ht="14.4">
      <c r="A27" s="70">
        <v>26</v>
      </c>
      <c r="B27" s="239" t="s">
        <v>156</v>
      </c>
      <c r="C27" s="393" t="s">
        <v>155</v>
      </c>
      <c r="D27" s="398">
        <v>2</v>
      </c>
      <c r="E27" s="73">
        <v>10</v>
      </c>
      <c r="F27" s="416">
        <v>1</v>
      </c>
      <c r="G27" s="73">
        <f t="shared" si="0"/>
        <v>13</v>
      </c>
      <c r="H27" s="394">
        <v>17.63</v>
      </c>
      <c r="I27" s="77">
        <f t="shared" si="1"/>
        <v>229.19</v>
      </c>
    </row>
    <row r="28" spans="1:9" ht="14.4">
      <c r="A28" s="70">
        <v>27</v>
      </c>
      <c r="B28" s="239" t="s">
        <v>157</v>
      </c>
      <c r="C28" s="393" t="s">
        <v>155</v>
      </c>
      <c r="D28" s="398">
        <v>2</v>
      </c>
      <c r="E28" s="73">
        <v>10</v>
      </c>
      <c r="F28" s="416">
        <v>0</v>
      </c>
      <c r="G28" s="73">
        <f t="shared" si="0"/>
        <v>12</v>
      </c>
      <c r="H28" s="394">
        <v>29.8</v>
      </c>
      <c r="I28" s="77">
        <f t="shared" si="1"/>
        <v>357.6</v>
      </c>
    </row>
    <row r="29" spans="1:9" ht="14.4">
      <c r="A29" s="70">
        <v>28</v>
      </c>
      <c r="B29" s="239" t="s">
        <v>158</v>
      </c>
      <c r="C29" s="393" t="s">
        <v>155</v>
      </c>
      <c r="D29" s="398">
        <v>2</v>
      </c>
      <c r="E29" s="73">
        <v>10</v>
      </c>
      <c r="F29" s="416">
        <v>0</v>
      </c>
      <c r="G29" s="73">
        <f t="shared" si="0"/>
        <v>12</v>
      </c>
      <c r="H29" s="394">
        <v>9.89</v>
      </c>
      <c r="I29" s="77">
        <f t="shared" si="1"/>
        <v>118.68</v>
      </c>
    </row>
    <row r="30" spans="1:9" ht="14.4">
      <c r="A30" s="70">
        <v>29</v>
      </c>
      <c r="B30" s="239" t="s">
        <v>159</v>
      </c>
      <c r="C30" s="393" t="s">
        <v>155</v>
      </c>
      <c r="D30" s="398">
        <v>2</v>
      </c>
      <c r="E30" s="73">
        <v>10</v>
      </c>
      <c r="F30" s="416">
        <v>0</v>
      </c>
      <c r="G30" s="73">
        <f t="shared" si="0"/>
        <v>12</v>
      </c>
      <c r="H30" s="394">
        <v>36.590000000000003</v>
      </c>
      <c r="I30" s="77">
        <f t="shared" si="1"/>
        <v>439.08000000000004</v>
      </c>
    </row>
    <row r="31" spans="1:9" ht="14.4">
      <c r="A31" s="70">
        <v>30</v>
      </c>
      <c r="B31" s="239" t="s">
        <v>160</v>
      </c>
      <c r="C31" s="393" t="s">
        <v>152</v>
      </c>
      <c r="D31" s="398">
        <v>1</v>
      </c>
      <c r="E31" s="73">
        <v>10</v>
      </c>
      <c r="F31" s="416">
        <v>0</v>
      </c>
      <c r="G31" s="73">
        <f t="shared" si="0"/>
        <v>11</v>
      </c>
      <c r="H31" s="394">
        <v>6.32</v>
      </c>
      <c r="I31" s="77">
        <f t="shared" si="1"/>
        <v>69.52000000000001</v>
      </c>
    </row>
    <row r="32" spans="1:9" ht="14.4">
      <c r="A32" s="70">
        <v>31</v>
      </c>
      <c r="B32" s="239" t="s">
        <v>161</v>
      </c>
      <c r="C32" s="393" t="s">
        <v>20</v>
      </c>
      <c r="D32" s="398">
        <v>1</v>
      </c>
      <c r="E32" s="73">
        <v>10</v>
      </c>
      <c r="F32" s="416">
        <v>0</v>
      </c>
      <c r="G32" s="73">
        <f t="shared" si="0"/>
        <v>11</v>
      </c>
      <c r="H32" s="394">
        <v>4.2</v>
      </c>
      <c r="I32" s="77">
        <f t="shared" si="1"/>
        <v>46.2</v>
      </c>
    </row>
    <row r="33" spans="1:9" ht="13.8">
      <c r="I33" s="83"/>
    </row>
    <row r="34" spans="1:9" ht="13.8">
      <c r="C34" s="534" t="s">
        <v>162</v>
      </c>
      <c r="D34" s="535"/>
      <c r="E34" s="535"/>
      <c r="F34" s="535"/>
      <c r="G34" s="535"/>
      <c r="H34" s="536"/>
      <c r="I34" s="449">
        <f>I35*12</f>
        <v>85188.479999999996</v>
      </c>
    </row>
    <row r="35" spans="1:9" ht="13.8">
      <c r="C35" s="537" t="s">
        <v>163</v>
      </c>
      <c r="D35" s="538"/>
      <c r="E35" s="538"/>
      <c r="F35" s="538"/>
      <c r="G35" s="538"/>
      <c r="H35" s="539"/>
      <c r="I35" s="449">
        <f>SUM(I2:I32)</f>
        <v>7099.04</v>
      </c>
    </row>
    <row r="38" spans="1:9" ht="69">
      <c r="A38" s="78" t="s">
        <v>17</v>
      </c>
      <c r="B38" s="79" t="s">
        <v>164</v>
      </c>
      <c r="C38" s="79" t="s">
        <v>117</v>
      </c>
      <c r="D38" s="79" t="s">
        <v>118</v>
      </c>
      <c r="E38" s="79" t="s">
        <v>119</v>
      </c>
      <c r="F38" s="79" t="s">
        <v>120</v>
      </c>
      <c r="G38" s="79" t="s">
        <v>165</v>
      </c>
      <c r="H38" s="79" t="s">
        <v>122</v>
      </c>
      <c r="I38" s="79" t="s">
        <v>166</v>
      </c>
    </row>
    <row r="39" spans="1:9">
      <c r="A39" s="70">
        <v>1</v>
      </c>
      <c r="B39" s="63" t="s">
        <v>167</v>
      </c>
      <c r="C39" s="62" t="s">
        <v>20</v>
      </c>
      <c r="D39" s="62">
        <v>16</v>
      </c>
      <c r="E39" s="62">
        <v>64</v>
      </c>
      <c r="F39" s="62">
        <v>2</v>
      </c>
      <c r="G39" s="74">
        <f>SUM(D39:F39)</f>
        <v>82</v>
      </c>
      <c r="H39" s="76">
        <v>4.5199999999999996</v>
      </c>
      <c r="I39" s="81">
        <f t="shared" ref="I39" si="2">G39*H39</f>
        <v>370.64</v>
      </c>
    </row>
    <row r="40" spans="1:9" ht="26.4">
      <c r="A40" s="70">
        <v>2</v>
      </c>
      <c r="B40" s="63" t="s">
        <v>168</v>
      </c>
      <c r="C40" s="62" t="s">
        <v>20</v>
      </c>
      <c r="D40" s="62">
        <v>8</v>
      </c>
      <c r="E40" s="62">
        <v>32</v>
      </c>
      <c r="F40" s="62">
        <v>4</v>
      </c>
      <c r="G40" s="74">
        <f t="shared" ref="G40:G49" si="3">SUM(D40:F40)</f>
        <v>44</v>
      </c>
      <c r="H40" s="76">
        <v>9.23</v>
      </c>
      <c r="I40" s="81">
        <f>G40*H40</f>
        <v>406.12</v>
      </c>
    </row>
    <row r="41" spans="1:9">
      <c r="A41" s="70">
        <v>3</v>
      </c>
      <c r="B41" s="64" t="s">
        <v>169</v>
      </c>
      <c r="C41" s="9" t="s">
        <v>20</v>
      </c>
      <c r="D41" s="9">
        <v>6</v>
      </c>
      <c r="E41" s="9">
        <v>24</v>
      </c>
      <c r="F41" s="9">
        <v>2</v>
      </c>
      <c r="G41" s="74">
        <f t="shared" si="3"/>
        <v>32</v>
      </c>
      <c r="H41" s="75">
        <v>7.07</v>
      </c>
      <c r="I41" s="81">
        <f t="shared" ref="I41:I49" si="4">G41*H41</f>
        <v>226.24</v>
      </c>
    </row>
    <row r="42" spans="1:9">
      <c r="A42" s="70">
        <v>4</v>
      </c>
      <c r="B42" s="64" t="s">
        <v>170</v>
      </c>
      <c r="C42" s="9" t="s">
        <v>20</v>
      </c>
      <c r="D42" s="9">
        <v>8</v>
      </c>
      <c r="E42" s="9">
        <v>32</v>
      </c>
      <c r="F42" s="9">
        <v>2</v>
      </c>
      <c r="G42" s="74">
        <f t="shared" si="3"/>
        <v>42</v>
      </c>
      <c r="H42" s="75">
        <v>6.94</v>
      </c>
      <c r="I42" s="81">
        <f t="shared" si="4"/>
        <v>291.48</v>
      </c>
    </row>
    <row r="43" spans="1:9">
      <c r="A43" s="70">
        <v>5</v>
      </c>
      <c r="B43" s="64" t="s">
        <v>171</v>
      </c>
      <c r="C43" s="9" t="s">
        <v>20</v>
      </c>
      <c r="D43" s="9">
        <v>8</v>
      </c>
      <c r="E43" s="9">
        <v>32</v>
      </c>
      <c r="F43" s="9">
        <v>2</v>
      </c>
      <c r="G43" s="74">
        <f t="shared" si="3"/>
        <v>42</v>
      </c>
      <c r="H43" s="75">
        <v>9.18</v>
      </c>
      <c r="I43" s="81">
        <f t="shared" si="4"/>
        <v>385.56</v>
      </c>
    </row>
    <row r="44" spans="1:9" ht="26.4">
      <c r="A44" s="70">
        <v>6</v>
      </c>
      <c r="B44" s="239" t="s">
        <v>172</v>
      </c>
      <c r="C44" s="249" t="s">
        <v>20</v>
      </c>
      <c r="D44" s="249">
        <v>8</v>
      </c>
      <c r="E44" s="249">
        <v>32</v>
      </c>
      <c r="F44" s="249">
        <v>0</v>
      </c>
      <c r="G44" s="74">
        <f t="shared" si="3"/>
        <v>40</v>
      </c>
      <c r="H44" s="80">
        <v>3.49</v>
      </c>
      <c r="I44" s="81">
        <f t="shared" si="4"/>
        <v>139.60000000000002</v>
      </c>
    </row>
    <row r="45" spans="1:9">
      <c r="A45" s="70">
        <v>7</v>
      </c>
      <c r="B45" s="240" t="s">
        <v>173</v>
      </c>
      <c r="C45" s="249" t="s">
        <v>20</v>
      </c>
      <c r="D45" s="249">
        <v>6</v>
      </c>
      <c r="E45" s="249">
        <v>24</v>
      </c>
      <c r="F45" s="249">
        <v>0</v>
      </c>
      <c r="G45" s="74">
        <f t="shared" si="3"/>
        <v>30</v>
      </c>
      <c r="H45" s="76">
        <v>5.89</v>
      </c>
      <c r="I45" s="81">
        <f t="shared" si="4"/>
        <v>176.7</v>
      </c>
    </row>
    <row r="46" spans="1:9">
      <c r="A46" s="70">
        <v>8</v>
      </c>
      <c r="B46" s="240" t="s">
        <v>174</v>
      </c>
      <c r="C46" s="249" t="s">
        <v>20</v>
      </c>
      <c r="D46" s="249">
        <v>4</v>
      </c>
      <c r="E46" s="249">
        <v>16</v>
      </c>
      <c r="F46" s="249">
        <v>0</v>
      </c>
      <c r="G46" s="74">
        <f t="shared" si="3"/>
        <v>20</v>
      </c>
      <c r="H46" s="72">
        <v>16.8</v>
      </c>
      <c r="I46" s="81">
        <f t="shared" si="4"/>
        <v>336</v>
      </c>
    </row>
    <row r="47" spans="1:9">
      <c r="A47" s="70">
        <v>9</v>
      </c>
      <c r="B47" s="240" t="s">
        <v>175</v>
      </c>
      <c r="C47" s="249" t="s">
        <v>20</v>
      </c>
      <c r="D47" s="249">
        <v>4</v>
      </c>
      <c r="E47" s="249">
        <v>16</v>
      </c>
      <c r="F47" s="249">
        <v>0</v>
      </c>
      <c r="G47" s="74">
        <f t="shared" si="3"/>
        <v>20</v>
      </c>
      <c r="H47" s="71">
        <v>10.25</v>
      </c>
      <c r="I47" s="81">
        <f t="shared" si="4"/>
        <v>205</v>
      </c>
    </row>
    <row r="48" spans="1:9">
      <c r="A48" s="70">
        <v>10</v>
      </c>
      <c r="B48" s="240" t="s">
        <v>176</v>
      </c>
      <c r="C48" s="249" t="s">
        <v>20</v>
      </c>
      <c r="D48" s="249">
        <v>4</v>
      </c>
      <c r="E48" s="249">
        <v>16</v>
      </c>
      <c r="F48" s="249">
        <v>2</v>
      </c>
      <c r="G48" s="74">
        <f t="shared" si="3"/>
        <v>22</v>
      </c>
      <c r="H48" s="72">
        <v>15.75</v>
      </c>
      <c r="I48" s="81">
        <f t="shared" si="4"/>
        <v>346.5</v>
      </c>
    </row>
    <row r="49" spans="1:9">
      <c r="A49" s="70">
        <v>11</v>
      </c>
      <c r="B49" s="240" t="s">
        <v>177</v>
      </c>
      <c r="C49" s="249" t="s">
        <v>20</v>
      </c>
      <c r="D49" s="249">
        <v>4</v>
      </c>
      <c r="E49" s="249">
        <v>16</v>
      </c>
      <c r="F49" s="249">
        <v>2</v>
      </c>
      <c r="G49" s="74">
        <f t="shared" si="3"/>
        <v>22</v>
      </c>
      <c r="H49" s="71">
        <v>15.7</v>
      </c>
      <c r="I49" s="81">
        <f t="shared" si="4"/>
        <v>345.4</v>
      </c>
    </row>
    <row r="50" spans="1:9" ht="26.4">
      <c r="A50" s="70">
        <v>12</v>
      </c>
      <c r="B50" s="240" t="s">
        <v>178</v>
      </c>
      <c r="C50" s="418" t="s">
        <v>20</v>
      </c>
      <c r="D50" s="249"/>
      <c r="E50" s="249"/>
      <c r="F50" s="249"/>
      <c r="G50" s="417">
        <v>5</v>
      </c>
      <c r="H50" s="71">
        <v>148.57</v>
      </c>
      <c r="I50" s="81">
        <f>G50*H50</f>
        <v>742.84999999999991</v>
      </c>
    </row>
    <row r="51" spans="1:9">
      <c r="A51" s="70">
        <v>13</v>
      </c>
      <c r="B51" s="240" t="s">
        <v>179</v>
      </c>
      <c r="C51" s="418" t="s">
        <v>20</v>
      </c>
      <c r="D51" s="249"/>
      <c r="E51" s="249"/>
      <c r="F51" s="249"/>
      <c r="G51" s="417">
        <v>5</v>
      </c>
      <c r="H51" s="71">
        <v>90.6</v>
      </c>
      <c r="I51" s="81">
        <f>G51*H51</f>
        <v>453</v>
      </c>
    </row>
    <row r="53" spans="1:9" ht="13.8">
      <c r="C53" s="534" t="s">
        <v>162</v>
      </c>
      <c r="D53" s="535"/>
      <c r="E53" s="535"/>
      <c r="F53" s="535"/>
      <c r="G53" s="535"/>
      <c r="H53" s="536"/>
      <c r="I53" s="449">
        <f>SUM(I39:I51)</f>
        <v>4425.09</v>
      </c>
    </row>
    <row r="54" spans="1:9" ht="13.8">
      <c r="C54" s="537" t="s">
        <v>163</v>
      </c>
      <c r="D54" s="538"/>
      <c r="E54" s="538"/>
      <c r="F54" s="538"/>
      <c r="G54" s="538"/>
      <c r="H54" s="539"/>
      <c r="I54" s="449">
        <f>I53/12</f>
        <v>368.75749999999999</v>
      </c>
    </row>
    <row r="58" spans="1:9" ht="69">
      <c r="A58" s="78" t="s">
        <v>17</v>
      </c>
      <c r="B58" s="79" t="s">
        <v>180</v>
      </c>
      <c r="C58" s="79" t="s">
        <v>117</v>
      </c>
      <c r="D58" s="79" t="s">
        <v>118</v>
      </c>
      <c r="E58" s="79" t="s">
        <v>119</v>
      </c>
      <c r="F58" s="79" t="s">
        <v>120</v>
      </c>
      <c r="G58" s="79" t="s">
        <v>165</v>
      </c>
      <c r="H58" s="79" t="s">
        <v>122</v>
      </c>
      <c r="I58" s="79" t="s">
        <v>166</v>
      </c>
    </row>
    <row r="59" spans="1:9" ht="79.2">
      <c r="A59" s="70">
        <v>12</v>
      </c>
      <c r="B59" s="240" t="s">
        <v>181</v>
      </c>
      <c r="C59" s="418" t="s">
        <v>20</v>
      </c>
      <c r="D59" s="249"/>
      <c r="E59" s="249"/>
      <c r="F59" s="249"/>
      <c r="G59" s="417">
        <v>5</v>
      </c>
      <c r="H59" s="72">
        <v>113</v>
      </c>
      <c r="I59" s="81">
        <f t="shared" ref="I59:I64" si="5">G59*H59</f>
        <v>565</v>
      </c>
    </row>
    <row r="60" spans="1:9" ht="26.4">
      <c r="A60" s="70">
        <v>13</v>
      </c>
      <c r="B60" s="240" t="s">
        <v>182</v>
      </c>
      <c r="C60" s="418" t="s">
        <v>20</v>
      </c>
      <c r="D60" s="249"/>
      <c r="E60" s="249"/>
      <c r="F60" s="249"/>
      <c r="G60" s="417">
        <v>5</v>
      </c>
      <c r="H60" s="71">
        <v>29.45</v>
      </c>
      <c r="I60" s="81">
        <f>G60*H60</f>
        <v>147.25</v>
      </c>
    </row>
    <row r="61" spans="1:9" ht="52.8">
      <c r="A61" s="70">
        <v>14</v>
      </c>
      <c r="B61" s="240" t="s">
        <v>183</v>
      </c>
      <c r="C61" s="418" t="s">
        <v>20</v>
      </c>
      <c r="D61" s="249"/>
      <c r="E61" s="249"/>
      <c r="F61" s="249"/>
      <c r="G61" s="417">
        <v>2</v>
      </c>
      <c r="H61" s="72">
        <v>2024.99</v>
      </c>
      <c r="I61" s="81">
        <f t="shared" si="5"/>
        <v>4049.98</v>
      </c>
    </row>
    <row r="62" spans="1:9">
      <c r="A62" s="70">
        <v>15</v>
      </c>
      <c r="B62" s="240" t="s">
        <v>184</v>
      </c>
      <c r="C62" s="418" t="s">
        <v>20</v>
      </c>
      <c r="D62" s="249"/>
      <c r="E62" s="249"/>
      <c r="F62" s="249"/>
      <c r="G62" s="417">
        <v>5</v>
      </c>
      <c r="H62" s="71">
        <v>257.70999999999998</v>
      </c>
      <c r="I62" s="81">
        <f t="shared" si="5"/>
        <v>1288.55</v>
      </c>
    </row>
    <row r="63" spans="1:9" ht="26.4">
      <c r="A63" s="70">
        <v>18</v>
      </c>
      <c r="B63" s="240" t="s">
        <v>185</v>
      </c>
      <c r="C63" s="418" t="s">
        <v>20</v>
      </c>
      <c r="D63" s="249"/>
      <c r="E63" s="249"/>
      <c r="F63" s="249"/>
      <c r="G63" s="417">
        <v>3</v>
      </c>
      <c r="H63" s="72">
        <v>1178.82</v>
      </c>
      <c r="I63" s="81">
        <f t="shared" si="5"/>
        <v>3536.46</v>
      </c>
    </row>
    <row r="64" spans="1:9" ht="39.6">
      <c r="A64" s="70">
        <v>19</v>
      </c>
      <c r="B64" s="240" t="s">
        <v>186</v>
      </c>
      <c r="C64" s="418" t="s">
        <v>20</v>
      </c>
      <c r="D64" s="249"/>
      <c r="E64" s="249"/>
      <c r="F64" s="249"/>
      <c r="G64" s="417">
        <v>15</v>
      </c>
      <c r="H64" s="72">
        <v>39.24</v>
      </c>
      <c r="I64" s="81">
        <f t="shared" si="5"/>
        <v>588.6</v>
      </c>
    </row>
    <row r="65" spans="1:10" ht="13.8">
      <c r="I65" s="82">
        <f>SUM(I59:I64)</f>
        <v>10175.84</v>
      </c>
    </row>
    <row r="66" spans="1:10" ht="13.8">
      <c r="I66" s="83"/>
    </row>
    <row r="67" spans="1:10" ht="15" customHeight="1">
      <c r="C67" s="61"/>
      <c r="D67" s="61"/>
      <c r="E67" s="61"/>
      <c r="F67" s="61"/>
      <c r="G67" s="506" t="s">
        <v>187</v>
      </c>
      <c r="H67" s="507"/>
      <c r="I67" s="85">
        <f>I65*10%</f>
        <v>1017.5840000000001</v>
      </c>
    </row>
    <row r="68" spans="1:10" ht="15" customHeight="1">
      <c r="C68" s="61"/>
      <c r="D68" s="61"/>
      <c r="E68" s="61"/>
      <c r="F68" s="61"/>
      <c r="G68" s="253"/>
      <c r="H68" s="253"/>
      <c r="I68" s="254"/>
    </row>
    <row r="69" spans="1:10" ht="15" customHeight="1">
      <c r="C69" s="534" t="s">
        <v>162</v>
      </c>
      <c r="D69" s="535"/>
      <c r="E69" s="535"/>
      <c r="F69" s="535"/>
      <c r="G69" s="535"/>
      <c r="H69" s="536"/>
      <c r="I69" s="450">
        <f>I67</f>
        <v>1017.5840000000001</v>
      </c>
      <c r="J69" s="451"/>
    </row>
    <row r="70" spans="1:10" ht="15" customHeight="1">
      <c r="C70" s="537" t="s">
        <v>163</v>
      </c>
      <c r="D70" s="538"/>
      <c r="E70" s="538"/>
      <c r="F70" s="538"/>
      <c r="G70" s="538"/>
      <c r="H70" s="539"/>
      <c r="I70" s="450">
        <f>I69/12</f>
        <v>84.798666666666676</v>
      </c>
      <c r="J70" s="452"/>
    </row>
    <row r="71" spans="1:10" ht="15" customHeight="1">
      <c r="C71" s="61"/>
      <c r="D71" s="61"/>
      <c r="E71" s="61"/>
      <c r="F71" s="61"/>
      <c r="G71" s="253"/>
      <c r="H71" s="253"/>
      <c r="I71" s="254"/>
    </row>
    <row r="72" spans="1:10" ht="15" customHeight="1">
      <c r="C72" s="61"/>
      <c r="D72" s="61"/>
      <c r="E72" s="61"/>
      <c r="F72" s="61"/>
      <c r="G72" s="253"/>
      <c r="H72" s="253"/>
      <c r="I72" s="254"/>
    </row>
    <row r="73" spans="1:10">
      <c r="B73" s="508" t="s">
        <v>188</v>
      </c>
      <c r="C73" s="509"/>
      <c r="D73" s="509"/>
      <c r="E73" s="509"/>
      <c r="F73" s="509"/>
      <c r="G73" s="509"/>
      <c r="H73" s="510"/>
      <c r="I73" s="94">
        <f>I34+I69</f>
        <v>86206.063999999998</v>
      </c>
    </row>
    <row r="74" spans="1:10">
      <c r="B74" s="508" t="s">
        <v>189</v>
      </c>
      <c r="C74" s="509"/>
      <c r="D74" s="509"/>
      <c r="E74" s="509"/>
      <c r="F74" s="509"/>
      <c r="G74" s="509"/>
      <c r="H74" s="510"/>
      <c r="I74" s="94">
        <f>I35+I54+I70</f>
        <v>7552.5961666666662</v>
      </c>
    </row>
    <row r="76" spans="1:10">
      <c r="A76" s="84" t="s">
        <v>190</v>
      </c>
    </row>
    <row r="77" spans="1:10" ht="14.4">
      <c r="C77" s="65"/>
      <c r="D77" s="65"/>
      <c r="E77" s="65"/>
      <c r="F77" s="65"/>
      <c r="G77" s="61"/>
      <c r="H77" s="66"/>
      <c r="I77" s="67"/>
    </row>
    <row r="79" spans="1:10">
      <c r="A79" s="10"/>
      <c r="B79" s="10"/>
      <c r="C79" s="10"/>
      <c r="D79" s="10"/>
      <c r="E79" s="10"/>
      <c r="F79" s="10"/>
      <c r="G79" s="10"/>
      <c r="H79" s="11"/>
      <c r="I79" s="12"/>
    </row>
    <row r="80" spans="1:10" ht="13.8">
      <c r="A80" s="514" t="s">
        <v>191</v>
      </c>
      <c r="B80" s="515"/>
      <c r="C80" s="515"/>
      <c r="D80" s="515"/>
      <c r="E80" s="515"/>
      <c r="F80" s="515"/>
      <c r="G80" s="515"/>
      <c r="H80" s="515"/>
      <c r="I80" s="516"/>
    </row>
    <row r="81" spans="1:9" ht="13.2" customHeight="1">
      <c r="A81" s="517" t="s">
        <v>60</v>
      </c>
      <c r="B81" s="519" t="s">
        <v>192</v>
      </c>
      <c r="C81" s="520"/>
      <c r="D81" s="520"/>
      <c r="E81" s="521"/>
      <c r="F81" s="519" t="s">
        <v>193</v>
      </c>
      <c r="G81" s="521"/>
      <c r="H81" s="525" t="s">
        <v>194</v>
      </c>
      <c r="I81" s="526"/>
    </row>
    <row r="82" spans="1:9" ht="37.5" customHeight="1">
      <c r="A82" s="518"/>
      <c r="B82" s="522"/>
      <c r="C82" s="523"/>
      <c r="D82" s="523"/>
      <c r="E82" s="524"/>
      <c r="F82" s="522"/>
      <c r="G82" s="524"/>
      <c r="H82" s="438" t="s">
        <v>195</v>
      </c>
      <c r="I82" s="439" t="s">
        <v>196</v>
      </c>
    </row>
    <row r="83" spans="1:9" ht="13.8">
      <c r="A83" s="511" t="s">
        <v>197</v>
      </c>
      <c r="B83" s="512"/>
      <c r="C83" s="512"/>
      <c r="D83" s="512"/>
      <c r="E83" s="512"/>
      <c r="F83" s="512"/>
      <c r="G83" s="512"/>
      <c r="H83" s="512"/>
      <c r="I83" s="513"/>
    </row>
    <row r="84" spans="1:9" ht="24.75" customHeight="1">
      <c r="A84" s="440">
        <v>1</v>
      </c>
      <c r="B84" s="527" t="s">
        <v>198</v>
      </c>
      <c r="C84" s="528"/>
      <c r="D84" s="528"/>
      <c r="E84" s="529"/>
      <c r="F84" s="530">
        <v>1</v>
      </c>
      <c r="G84" s="531"/>
      <c r="H84" s="426">
        <v>67.5</v>
      </c>
      <c r="I84" s="426">
        <f>F84*H84</f>
        <v>67.5</v>
      </c>
    </row>
    <row r="85" spans="1:9" ht="24.75" customHeight="1">
      <c r="A85" s="440">
        <v>2</v>
      </c>
      <c r="B85" s="527" t="s">
        <v>199</v>
      </c>
      <c r="C85" s="528"/>
      <c r="D85" s="528"/>
      <c r="E85" s="529"/>
      <c r="F85" s="530">
        <v>1</v>
      </c>
      <c r="G85" s="531"/>
      <c r="H85" s="426">
        <v>35.4</v>
      </c>
      <c r="I85" s="426">
        <f>F85*H85</f>
        <v>35.4</v>
      </c>
    </row>
    <row r="86" spans="1:9" ht="12.75" customHeight="1">
      <c r="A86" s="440">
        <v>3</v>
      </c>
      <c r="B86" s="527" t="s">
        <v>200</v>
      </c>
      <c r="C86" s="528"/>
      <c r="D86" s="528"/>
      <c r="E86" s="529"/>
      <c r="F86" s="530">
        <v>1</v>
      </c>
      <c r="G86" s="531"/>
      <c r="H86" s="426">
        <v>8.91</v>
      </c>
      <c r="I86" s="426">
        <f>F86*H86</f>
        <v>8.91</v>
      </c>
    </row>
    <row r="87" spans="1:9" ht="37.5" customHeight="1">
      <c r="A87" s="440">
        <v>4</v>
      </c>
      <c r="B87" s="527" t="s">
        <v>201</v>
      </c>
      <c r="C87" s="528"/>
      <c r="D87" s="528"/>
      <c r="E87" s="529"/>
      <c r="F87" s="530">
        <v>1</v>
      </c>
      <c r="G87" s="531"/>
      <c r="H87" s="426">
        <v>51.94</v>
      </c>
      <c r="I87" s="426">
        <f>F87*H87</f>
        <v>51.94</v>
      </c>
    </row>
    <row r="88" spans="1:9" ht="14.4">
      <c r="A88" s="427" t="s">
        <v>202</v>
      </c>
      <c r="B88" s="428" t="s">
        <v>203</v>
      </c>
      <c r="C88" s="429" t="s">
        <v>202</v>
      </c>
      <c r="D88" s="429" t="s">
        <v>202</v>
      </c>
      <c r="E88" s="429" t="s">
        <v>202</v>
      </c>
      <c r="F88" s="430" t="s">
        <v>202</v>
      </c>
      <c r="G88" s="431" t="s">
        <v>202</v>
      </c>
      <c r="H88" s="432" t="s">
        <v>202</v>
      </c>
      <c r="I88" s="433">
        <f>SUM(I84:I87)</f>
        <v>163.75</v>
      </c>
    </row>
    <row r="90" spans="1:9" ht="30" customHeight="1">
      <c r="B90" s="532" t="s">
        <v>204</v>
      </c>
      <c r="C90" s="533"/>
      <c r="D90" s="533"/>
      <c r="E90" s="533"/>
      <c r="F90" s="434"/>
      <c r="G90" s="435" t="s">
        <v>205</v>
      </c>
      <c r="H90" s="436" t="s">
        <v>206</v>
      </c>
      <c r="I90" s="441">
        <f>I88*3</f>
        <v>491.25</v>
      </c>
    </row>
    <row r="91" spans="1:9" ht="14.4">
      <c r="B91" s="434"/>
      <c r="C91" s="434"/>
      <c r="D91" s="434"/>
      <c r="E91" s="434"/>
      <c r="F91" s="434"/>
      <c r="G91" s="434"/>
      <c r="H91" s="437" t="s">
        <v>207</v>
      </c>
      <c r="I91" s="442">
        <f>I90/12</f>
        <v>40.9375</v>
      </c>
    </row>
    <row r="92" spans="1:9" ht="14.4">
      <c r="B92" s="17"/>
      <c r="C92" s="17"/>
      <c r="D92" s="17"/>
      <c r="E92" s="17"/>
      <c r="F92" s="17"/>
      <c r="G92" s="17"/>
      <c r="H92" s="17"/>
      <c r="I92" s="29"/>
    </row>
    <row r="93" spans="1:9" ht="14.4">
      <c r="B93" s="17"/>
      <c r="C93" s="17"/>
      <c r="D93" s="17"/>
      <c r="E93" s="17"/>
      <c r="F93" s="17"/>
      <c r="G93" s="17"/>
      <c r="H93" s="17"/>
      <c r="I93" s="29"/>
    </row>
    <row r="94" spans="1:9" ht="14.4">
      <c r="B94" s="17"/>
      <c r="C94" s="17"/>
      <c r="D94" s="17"/>
      <c r="E94" s="17"/>
      <c r="F94" s="17"/>
      <c r="G94" s="17"/>
      <c r="H94" s="17"/>
      <c r="I94" s="29"/>
    </row>
    <row r="96" spans="1:9">
      <c r="A96" s="57" t="s">
        <v>208</v>
      </c>
    </row>
    <row r="98" spans="1:13">
      <c r="A98" s="23" t="s">
        <v>209</v>
      </c>
    </row>
    <row r="100" spans="1:13">
      <c r="A100" s="23" t="s">
        <v>210</v>
      </c>
    </row>
    <row r="102" spans="1:13">
      <c r="A102" s="505" t="s">
        <v>211</v>
      </c>
      <c r="B102" s="505"/>
      <c r="C102" s="505"/>
      <c r="D102" s="505"/>
      <c r="E102" s="505"/>
      <c r="F102" s="505"/>
      <c r="G102" s="505"/>
      <c r="H102" s="505"/>
      <c r="I102" s="505"/>
      <c r="J102" s="505"/>
      <c r="K102" s="505"/>
      <c r="L102" s="505"/>
      <c r="M102" s="505"/>
    </row>
    <row r="104" spans="1:13">
      <c r="A104" s="505" t="s">
        <v>212</v>
      </c>
      <c r="B104" s="505"/>
      <c r="C104" s="505"/>
      <c r="D104" s="505"/>
      <c r="E104" s="505"/>
      <c r="F104" s="505"/>
      <c r="G104" s="505"/>
      <c r="H104" s="505"/>
      <c r="I104" s="505"/>
      <c r="J104" s="505"/>
      <c r="K104" s="505"/>
      <c r="L104" s="505"/>
      <c r="M104" s="505"/>
    </row>
    <row r="106" spans="1:13">
      <c r="A106" s="23"/>
    </row>
  </sheetData>
  <mergeCells count="26">
    <mergeCell ref="F86:G86"/>
    <mergeCell ref="B87:E87"/>
    <mergeCell ref="F87:G87"/>
    <mergeCell ref="C34:H34"/>
    <mergeCell ref="C35:H35"/>
    <mergeCell ref="C53:H53"/>
    <mergeCell ref="C54:H54"/>
    <mergeCell ref="C69:H69"/>
    <mergeCell ref="C70:H70"/>
    <mergeCell ref="B73:H73"/>
    <mergeCell ref="A102:M102"/>
    <mergeCell ref="A104:M104"/>
    <mergeCell ref="G67:H67"/>
    <mergeCell ref="B74:H74"/>
    <mergeCell ref="A83:I83"/>
    <mergeCell ref="A80:I80"/>
    <mergeCell ref="A81:A82"/>
    <mergeCell ref="B81:E82"/>
    <mergeCell ref="F81:G82"/>
    <mergeCell ref="H81:I81"/>
    <mergeCell ref="B84:E84"/>
    <mergeCell ref="F84:G84"/>
    <mergeCell ref="B90:E90"/>
    <mergeCell ref="B85:E85"/>
    <mergeCell ref="F85:G85"/>
    <mergeCell ref="B86:E8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K54"/>
  <sheetViews>
    <sheetView topLeftCell="A29" workbookViewId="0">
      <selection activeCell="G42" sqref="G42"/>
    </sheetView>
  </sheetViews>
  <sheetFormatPr defaultRowHeight="13.2"/>
  <cols>
    <col min="2" max="2" width="27.33203125" customWidth="1"/>
    <col min="3" max="3" width="17.6640625" customWidth="1"/>
    <col min="4" max="4" width="15" customWidth="1"/>
    <col min="5" max="5" width="14.6640625" customWidth="1"/>
    <col min="6" max="6" width="24.6640625" customWidth="1"/>
    <col min="7" max="7" width="23.6640625" customWidth="1"/>
    <col min="9" max="9" width="19.44140625" customWidth="1"/>
    <col min="10" max="10" width="13.33203125" customWidth="1"/>
    <col min="11" max="11" width="17" customWidth="1"/>
  </cols>
  <sheetData>
    <row r="1" spans="1:10" s="52" customFormat="1" ht="81.900000000000006" customHeight="1">
      <c r="A1" s="49"/>
      <c r="B1" s="50"/>
      <c r="C1" s="50"/>
      <c r="D1" s="50"/>
      <c r="E1" s="50"/>
      <c r="F1" s="50"/>
      <c r="G1" s="51"/>
    </row>
    <row r="2" spans="1:10" ht="21">
      <c r="A2" s="551" t="s">
        <v>0</v>
      </c>
      <c r="B2" s="552"/>
      <c r="C2" s="552"/>
      <c r="D2" s="552"/>
      <c r="E2" s="552"/>
      <c r="F2" s="552"/>
      <c r="G2" s="553"/>
      <c r="H2" s="5"/>
      <c r="I2" s="5"/>
      <c r="J2" s="6"/>
    </row>
    <row r="3" spans="1:10" ht="15.6">
      <c r="A3" s="554" t="s">
        <v>213</v>
      </c>
      <c r="B3" s="555"/>
      <c r="C3" s="555"/>
      <c r="D3" s="555"/>
      <c r="E3" s="555"/>
      <c r="F3" s="555"/>
      <c r="G3" s="556"/>
    </row>
    <row r="4" spans="1:10" ht="15.6">
      <c r="A4" s="554" t="s">
        <v>214</v>
      </c>
      <c r="B4" s="555"/>
      <c r="C4" s="555"/>
      <c r="D4" s="555"/>
      <c r="E4" s="555"/>
      <c r="F4" s="555"/>
      <c r="G4" s="556"/>
    </row>
    <row r="5" spans="1:10" ht="15.6">
      <c r="A5" s="554" t="s">
        <v>215</v>
      </c>
      <c r="B5" s="555"/>
      <c r="C5" s="555"/>
      <c r="D5" s="555"/>
      <c r="E5" s="555"/>
      <c r="F5" s="555"/>
      <c r="G5" s="556"/>
    </row>
    <row r="6" spans="1:10" ht="15.6">
      <c r="A6" s="554"/>
      <c r="B6" s="555"/>
      <c r="C6" s="555"/>
      <c r="D6" s="555"/>
      <c r="E6" s="555"/>
      <c r="F6" s="555"/>
      <c r="G6" s="556"/>
    </row>
    <row r="7" spans="1:10" ht="15.6">
      <c r="A7" s="48"/>
      <c r="B7" s="48"/>
      <c r="C7" s="48"/>
      <c r="D7" s="48"/>
      <c r="E7" s="48"/>
      <c r="F7" s="48"/>
      <c r="G7" s="48"/>
    </row>
    <row r="8" spans="1:10">
      <c r="A8" s="561" t="s">
        <v>216</v>
      </c>
      <c r="B8" s="561"/>
      <c r="C8" s="561"/>
      <c r="D8" s="561"/>
      <c r="E8" s="561"/>
      <c r="F8" s="561"/>
      <c r="G8" s="561"/>
    </row>
    <row r="9" spans="1:10" ht="15.6">
      <c r="B9" s="5"/>
      <c r="C9" s="5"/>
      <c r="D9" s="5"/>
      <c r="E9" s="5"/>
      <c r="F9" s="5"/>
      <c r="G9" s="5"/>
    </row>
    <row r="10" spans="1:10" ht="15.6">
      <c r="B10" s="565" t="s">
        <v>217</v>
      </c>
      <c r="C10" s="565"/>
      <c r="D10" s="565"/>
      <c r="E10" s="565"/>
      <c r="F10" s="565"/>
      <c r="G10" s="565"/>
    </row>
    <row r="12" spans="1:10" ht="15.6">
      <c r="B12" s="7" t="s">
        <v>218</v>
      </c>
      <c r="C12" s="7"/>
      <c r="D12" s="7"/>
      <c r="E12" s="7"/>
      <c r="F12" s="7"/>
    </row>
    <row r="13" spans="1:10" ht="15.6">
      <c r="B13" s="7"/>
      <c r="C13" s="7"/>
      <c r="D13" s="7"/>
      <c r="E13" s="7"/>
      <c r="F13" s="7"/>
    </row>
    <row r="14" spans="1:10" ht="15.6">
      <c r="B14" s="3" t="s">
        <v>219</v>
      </c>
      <c r="C14" s="3" t="s">
        <v>220</v>
      </c>
      <c r="D14" s="7"/>
      <c r="E14" s="7"/>
      <c r="F14" s="7"/>
    </row>
    <row r="15" spans="1:10" ht="15.6">
      <c r="B15" s="213" t="s">
        <v>221</v>
      </c>
      <c r="C15" s="215">
        <v>1500</v>
      </c>
      <c r="D15" s="7"/>
      <c r="E15" s="7"/>
      <c r="F15" s="7"/>
    </row>
    <row r="19" spans="2:11" ht="15.6">
      <c r="B19" s="565" t="s">
        <v>222</v>
      </c>
      <c r="C19" s="565"/>
      <c r="D19" s="565"/>
      <c r="E19" s="565"/>
      <c r="F19" s="565"/>
      <c r="G19" s="565"/>
    </row>
    <row r="20" spans="2:11" ht="15.6">
      <c r="B20" s="2"/>
      <c r="C20" s="2"/>
      <c r="D20" s="2"/>
      <c r="E20" s="2"/>
      <c r="F20" s="2"/>
    </row>
    <row r="21" spans="2:11" ht="15.6">
      <c r="B21" s="574" t="s">
        <v>223</v>
      </c>
      <c r="C21" s="574"/>
      <c r="D21" s="574"/>
      <c r="E21" s="574"/>
      <c r="F21" s="574"/>
    </row>
    <row r="22" spans="2:11" ht="15.6">
      <c r="B22" s="4"/>
      <c r="C22" s="4"/>
      <c r="D22" s="4"/>
      <c r="E22" s="4"/>
      <c r="F22" s="4"/>
    </row>
    <row r="23" spans="2:11" ht="51" customHeight="1">
      <c r="B23" s="316" t="s">
        <v>219</v>
      </c>
      <c r="C23" s="316" t="s">
        <v>224</v>
      </c>
      <c r="D23" s="316" t="s">
        <v>225</v>
      </c>
      <c r="E23" s="316" t="s">
        <v>226</v>
      </c>
      <c r="F23" s="341" t="s">
        <v>227</v>
      </c>
      <c r="G23" s="316" t="s">
        <v>228</v>
      </c>
      <c r="H23" s="216"/>
      <c r="I23" s="216"/>
      <c r="J23" s="216"/>
    </row>
    <row r="24" spans="2:11">
      <c r="B24" s="342" t="s">
        <v>229</v>
      </c>
      <c r="C24" s="343">
        <v>20</v>
      </c>
      <c r="D24" s="344">
        <v>22</v>
      </c>
      <c r="E24" s="345">
        <f>C24*D24</f>
        <v>440</v>
      </c>
      <c r="F24" s="346">
        <f>11%*E24</f>
        <v>48.4</v>
      </c>
      <c r="G24" s="347">
        <f>E24-F24</f>
        <v>391.6</v>
      </c>
    </row>
    <row r="25" spans="2:11">
      <c r="B25" s="23"/>
      <c r="C25" s="19"/>
      <c r="D25" s="20"/>
      <c r="E25" s="21"/>
      <c r="F25" s="21"/>
      <c r="G25" s="22"/>
    </row>
    <row r="26" spans="2:11">
      <c r="B26" s="23"/>
      <c r="C26" s="19"/>
      <c r="D26" s="20"/>
      <c r="E26" s="21"/>
      <c r="F26" s="21"/>
      <c r="G26" s="22"/>
    </row>
    <row r="28" spans="2:11" ht="15.6">
      <c r="B28" s="565" t="s">
        <v>230</v>
      </c>
      <c r="C28" s="565"/>
      <c r="D28" s="565"/>
      <c r="E28" s="565"/>
      <c r="F28" s="565"/>
      <c r="G28" s="565"/>
    </row>
    <row r="29" spans="2:11" ht="15.6">
      <c r="B29" s="2"/>
      <c r="C29" s="2"/>
      <c r="D29" s="2"/>
      <c r="E29" s="2"/>
      <c r="F29" s="2"/>
    </row>
    <row r="30" spans="2:11" ht="15.6">
      <c r="B30" s="2"/>
      <c r="C30" s="2"/>
      <c r="D30" s="2"/>
      <c r="E30" s="2"/>
      <c r="F30" s="2"/>
    </row>
    <row r="31" spans="2:11" ht="24" customHeight="1">
      <c r="B31" s="86" t="s">
        <v>231</v>
      </c>
      <c r="C31" s="87"/>
      <c r="D31" s="88"/>
      <c r="F31" s="559" t="s">
        <v>232</v>
      </c>
      <c r="G31" s="560"/>
      <c r="I31" s="1"/>
    </row>
    <row r="32" spans="2:11" ht="12.75" customHeight="1">
      <c r="B32" s="566" t="s">
        <v>233</v>
      </c>
      <c r="C32" s="545" t="s">
        <v>234</v>
      </c>
      <c r="D32" s="546"/>
      <c r="E32" s="575"/>
      <c r="F32" s="572" t="s">
        <v>235</v>
      </c>
      <c r="G32" s="557"/>
      <c r="I32" s="540"/>
      <c r="J32" s="540"/>
      <c r="K32" s="541"/>
    </row>
    <row r="33" spans="2:11">
      <c r="B33" s="567"/>
      <c r="C33" s="547"/>
      <c r="D33" s="548"/>
      <c r="E33" s="575"/>
      <c r="F33" s="573"/>
      <c r="G33" s="558"/>
      <c r="I33" s="540"/>
      <c r="J33" s="540"/>
      <c r="K33" s="541"/>
    </row>
    <row r="34" spans="2:11">
      <c r="B34" s="360">
        <f>'BASE-MATERIAL-EQUIP-UNIFORME'!I35+'BASE-MATERIAL-EQUIP-UNIFORME'!I54</f>
        <v>7467.7974999999997</v>
      </c>
      <c r="C34" s="549">
        <f>'PROPOSTA RESUMO'!E28</f>
        <v>10</v>
      </c>
      <c r="D34" s="550"/>
      <c r="E34" s="24"/>
      <c r="F34" s="361">
        <f>B34/C34</f>
        <v>746.77974999999992</v>
      </c>
      <c r="G34" s="255"/>
      <c r="I34" s="265"/>
      <c r="J34" s="266"/>
      <c r="K34" s="8"/>
    </row>
    <row r="35" spans="2:11">
      <c r="B35" s="23"/>
      <c r="C35" s="23"/>
      <c r="D35" s="23"/>
      <c r="E35" s="26"/>
      <c r="F35" s="23"/>
      <c r="G35" s="8"/>
      <c r="I35" s="260"/>
      <c r="J35" s="260"/>
      <c r="K35" s="260"/>
    </row>
    <row r="36" spans="2:11">
      <c r="B36" s="562"/>
      <c r="C36" s="562"/>
      <c r="D36" s="562"/>
      <c r="E36" s="562"/>
      <c r="F36" s="562"/>
    </row>
    <row r="37" spans="2:11">
      <c r="B37" s="86" t="s">
        <v>236</v>
      </c>
      <c r="C37" s="89"/>
      <c r="D37" s="90"/>
      <c r="E37" s="23"/>
      <c r="F37" s="23"/>
      <c r="I37" s="1"/>
      <c r="J37" s="23"/>
      <c r="K37" s="23"/>
    </row>
    <row r="38" spans="2:11" ht="24" customHeight="1">
      <c r="B38" s="563" t="s">
        <v>233</v>
      </c>
      <c r="C38" s="545" t="str">
        <f>C32</f>
        <v>FUNC.</v>
      </c>
      <c r="D38" s="546"/>
      <c r="E38" s="23"/>
      <c r="F38" s="559" t="s">
        <v>237</v>
      </c>
      <c r="G38" s="560"/>
      <c r="I38" s="542"/>
      <c r="J38" s="540"/>
      <c r="K38" s="541"/>
    </row>
    <row r="39" spans="2:11">
      <c r="B39" s="564"/>
      <c r="C39" s="547"/>
      <c r="D39" s="548"/>
      <c r="E39" s="23"/>
      <c r="F39" s="264" t="s">
        <v>238</v>
      </c>
      <c r="G39" s="263"/>
      <c r="I39" s="542"/>
      <c r="J39" s="540"/>
      <c r="K39" s="541"/>
    </row>
    <row r="40" spans="2:11">
      <c r="B40" s="360">
        <f>'BASE-MATERIAL-EQUIP-UNIFORME'!I70</f>
        <v>84.798666666666676</v>
      </c>
      <c r="C40" s="543">
        <f>'PROPOSTA RESUMO'!E28</f>
        <v>10</v>
      </c>
      <c r="D40" s="544"/>
      <c r="E40" s="23"/>
      <c r="F40" s="361">
        <f>B40/C40</f>
        <v>8.479866666666668</v>
      </c>
      <c r="G40" s="262"/>
      <c r="I40" s="96"/>
      <c r="J40" s="97"/>
      <c r="K40" s="8"/>
    </row>
    <row r="41" spans="2:11">
      <c r="B41" s="23"/>
      <c r="C41" s="27"/>
      <c r="D41" s="28"/>
      <c r="E41" s="25"/>
      <c r="F41" s="25"/>
      <c r="I41" s="261"/>
      <c r="K41" s="261"/>
    </row>
    <row r="42" spans="2:11">
      <c r="B42" s="23"/>
      <c r="C42" s="23"/>
      <c r="D42" s="23"/>
      <c r="E42" s="23"/>
      <c r="F42" s="23"/>
    </row>
    <row r="43" spans="2:11">
      <c r="B43" s="86" t="s">
        <v>239</v>
      </c>
      <c r="C43" s="89"/>
      <c r="D43" s="90"/>
      <c r="E43" s="23"/>
      <c r="F43" s="23"/>
    </row>
    <row r="44" spans="2:11" ht="12.75" customHeight="1">
      <c r="B44" s="563" t="s">
        <v>233</v>
      </c>
      <c r="C44" s="563" t="s">
        <v>240</v>
      </c>
      <c r="D44" s="570" t="s">
        <v>241</v>
      </c>
      <c r="E44" s="23"/>
      <c r="F44" s="23"/>
    </row>
    <row r="45" spans="2:11">
      <c r="B45" s="564"/>
      <c r="C45" s="564"/>
      <c r="D45" s="570"/>
      <c r="E45" s="23"/>
      <c r="F45" s="23"/>
    </row>
    <row r="46" spans="2:11">
      <c r="B46" s="360">
        <f>'BASE-MATERIAL-EQUIP-UNIFORME'!I90</f>
        <v>491.25</v>
      </c>
      <c r="C46" s="443">
        <v>3</v>
      </c>
      <c r="D46" s="69">
        <f>B46/12</f>
        <v>40.9375</v>
      </c>
      <c r="E46" s="23"/>
      <c r="F46" s="23"/>
    </row>
    <row r="47" spans="2:11" ht="13.8">
      <c r="C47" s="444" t="s">
        <v>242</v>
      </c>
    </row>
    <row r="50" spans="1:6">
      <c r="A50" s="291" t="s">
        <v>243</v>
      </c>
      <c r="B50" s="291"/>
      <c r="C50" s="291" t="s">
        <v>244</v>
      </c>
    </row>
    <row r="53" spans="1:6" ht="50.25" customHeight="1">
      <c r="A53" s="568" t="s">
        <v>245</v>
      </c>
      <c r="B53" s="568"/>
      <c r="C53" s="571" t="s">
        <v>246</v>
      </c>
      <c r="D53" s="571"/>
      <c r="E53" s="571"/>
      <c r="F53" s="571"/>
    </row>
    <row r="54" spans="1:6">
      <c r="A54" s="569" t="s">
        <v>247</v>
      </c>
      <c r="B54" s="569"/>
      <c r="C54" s="291" t="s">
        <v>248</v>
      </c>
    </row>
  </sheetData>
  <mergeCells count="34">
    <mergeCell ref="C38:D39"/>
    <mergeCell ref="F32:F33"/>
    <mergeCell ref="B21:F21"/>
    <mergeCell ref="B10:G10"/>
    <mergeCell ref="B19:G19"/>
    <mergeCell ref="E32:E33"/>
    <mergeCell ref="A53:B53"/>
    <mergeCell ref="A54:B54"/>
    <mergeCell ref="B44:B45"/>
    <mergeCell ref="C44:C45"/>
    <mergeCell ref="D44:D45"/>
    <mergeCell ref="C53:F53"/>
    <mergeCell ref="C40:D40"/>
    <mergeCell ref="C32:D33"/>
    <mergeCell ref="C34:D34"/>
    <mergeCell ref="A2:G2"/>
    <mergeCell ref="A3:G3"/>
    <mergeCell ref="A4:G4"/>
    <mergeCell ref="A5:G5"/>
    <mergeCell ref="A6:G6"/>
    <mergeCell ref="G32:G33"/>
    <mergeCell ref="F38:G38"/>
    <mergeCell ref="F31:G31"/>
    <mergeCell ref="A8:G8"/>
    <mergeCell ref="B36:F36"/>
    <mergeCell ref="B38:B39"/>
    <mergeCell ref="B28:G28"/>
    <mergeCell ref="B32:B33"/>
    <mergeCell ref="I32:I33"/>
    <mergeCell ref="J32:J33"/>
    <mergeCell ref="K32:K33"/>
    <mergeCell ref="I38:I39"/>
    <mergeCell ref="J38:J39"/>
    <mergeCell ref="K38:K39"/>
  </mergeCells>
  <pageMargins left="0.51181102362204722" right="0.19685039370078741" top="0.78740157480314965" bottom="0.78740157480314965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D2"/>
  <sheetViews>
    <sheetView workbookViewId="0">
      <selection activeCell="C3" sqref="C3"/>
    </sheetView>
  </sheetViews>
  <sheetFormatPr defaultColWidth="11.5546875" defaultRowHeight="13.65" customHeight="1"/>
  <cols>
    <col min="1" max="1" width="37" style="59" customWidth="1"/>
    <col min="2" max="2" width="10.6640625" style="60" customWidth="1"/>
    <col min="3" max="3" width="137.5546875" style="59" customWidth="1"/>
    <col min="4" max="16384" width="11.5546875" style="59"/>
  </cols>
  <sheetData>
    <row r="1" spans="1:4" ht="14.85" customHeight="1">
      <c r="A1" s="93" t="s">
        <v>249</v>
      </c>
      <c r="B1" s="93" t="s">
        <v>250</v>
      </c>
      <c r="C1" s="211"/>
      <c r="D1" s="58"/>
    </row>
    <row r="2" spans="1:4" ht="14.85" customHeight="1">
      <c r="A2" s="292" t="str">
        <f>'BASE-Tarifas de Passagens'!E4</f>
        <v>Goiânia/GO</v>
      </c>
      <c r="B2" s="293">
        <v>0.05</v>
      </c>
      <c r="C2" s="212"/>
      <c r="D2" s="58"/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G7"/>
  <sheetViews>
    <sheetView zoomScaleNormal="100" workbookViewId="0">
      <selection activeCell="A7" sqref="A7"/>
    </sheetView>
  </sheetViews>
  <sheetFormatPr defaultColWidth="9.109375" defaultRowHeight="15.6"/>
  <cols>
    <col min="1" max="1" width="25.44140625" style="18" customWidth="1"/>
    <col min="2" max="2" width="49.88671875" style="18" customWidth="1"/>
    <col min="3" max="3" width="63.5546875" style="18" customWidth="1"/>
    <col min="4" max="4" width="17.33203125" style="18" customWidth="1"/>
    <col min="5" max="5" width="26" style="18" customWidth="1"/>
    <col min="6" max="6" width="17.88671875" style="18" customWidth="1"/>
    <col min="7" max="7" width="34.88671875" style="18" customWidth="1"/>
    <col min="8" max="8" width="23.33203125" style="18" customWidth="1"/>
    <col min="9" max="9" width="4.6640625" style="18" customWidth="1"/>
    <col min="10" max="10" width="3.109375" style="18" customWidth="1"/>
    <col min="11" max="11" width="2.6640625" style="18" customWidth="1"/>
    <col min="12" max="12" width="9.88671875" style="18" customWidth="1"/>
    <col min="13" max="15" width="9.109375" style="18"/>
    <col min="16" max="18" width="9.109375" style="18" customWidth="1"/>
    <col min="19" max="19" width="18.109375" style="18" customWidth="1"/>
    <col min="20" max="16384" width="9.109375" style="18"/>
  </cols>
  <sheetData>
    <row r="1" spans="1:7">
      <c r="A1" s="576" t="s">
        <v>251</v>
      </c>
      <c r="B1" s="576"/>
      <c r="C1" s="576"/>
      <c r="D1" s="576"/>
      <c r="E1" s="576"/>
      <c r="F1" s="576"/>
      <c r="G1" s="576"/>
    </row>
    <row r="2" spans="1:7">
      <c r="A2" s="576"/>
      <c r="B2" s="576"/>
      <c r="C2" s="576"/>
      <c r="D2" s="576"/>
      <c r="E2" s="576"/>
      <c r="F2" s="576"/>
      <c r="G2" s="576"/>
    </row>
    <row r="3" spans="1:7">
      <c r="A3" s="576"/>
      <c r="B3" s="576"/>
      <c r="C3" s="576"/>
      <c r="D3" s="576"/>
      <c r="E3" s="576"/>
      <c r="F3" s="576"/>
      <c r="G3" s="576"/>
    </row>
    <row r="4" spans="1:7">
      <c r="A4" s="390" t="str">
        <f>'BASE-Tarifas de Passagens'!A3</f>
        <v>Unidade</v>
      </c>
      <c r="B4" s="391" t="s">
        <v>252</v>
      </c>
      <c r="C4" s="390" t="s">
        <v>253</v>
      </c>
      <c r="D4" s="390" t="s">
        <v>254</v>
      </c>
      <c r="E4" s="390" t="s">
        <v>249</v>
      </c>
      <c r="F4" s="390" t="s">
        <v>255</v>
      </c>
      <c r="G4" s="390" t="s">
        <v>256</v>
      </c>
    </row>
    <row r="5" spans="1:7" s="380" customFormat="1" ht="31.5" customHeight="1">
      <c r="A5" s="377" t="s">
        <v>107</v>
      </c>
      <c r="B5" s="378" t="s">
        <v>257</v>
      </c>
      <c r="C5" s="378" t="s">
        <v>258</v>
      </c>
      <c r="D5" s="379" t="s">
        <v>259</v>
      </c>
      <c r="E5" s="379" t="s">
        <v>260</v>
      </c>
      <c r="F5" s="379" t="s">
        <v>261</v>
      </c>
      <c r="G5" s="446" t="s">
        <v>262</v>
      </c>
    </row>
    <row r="6" spans="1:7" s="380" customFormat="1" ht="31.5" customHeight="1">
      <c r="A6" s="381" t="s">
        <v>108</v>
      </c>
      <c r="B6" s="382" t="s">
        <v>263</v>
      </c>
      <c r="C6" s="382" t="s">
        <v>264</v>
      </c>
      <c r="D6" s="383" t="s">
        <v>265</v>
      </c>
      <c r="E6" s="383" t="s">
        <v>260</v>
      </c>
      <c r="F6" s="383" t="s">
        <v>266</v>
      </c>
      <c r="G6" s="448" t="s">
        <v>267</v>
      </c>
    </row>
    <row r="7" spans="1:7" s="380" customFormat="1" ht="31.5" customHeight="1">
      <c r="A7" s="384" t="s">
        <v>109</v>
      </c>
      <c r="B7" s="385" t="s">
        <v>268</v>
      </c>
      <c r="C7" s="385" t="s">
        <v>269</v>
      </c>
      <c r="D7" s="379" t="s">
        <v>265</v>
      </c>
      <c r="E7" s="379" t="s">
        <v>260</v>
      </c>
      <c r="F7" s="425" t="s">
        <v>270</v>
      </c>
      <c r="G7" s="447" t="s">
        <v>271</v>
      </c>
    </row>
  </sheetData>
  <mergeCells count="1">
    <mergeCell ref="A1:G3"/>
  </mergeCells>
  <phoneticPr fontId="2" type="noConversion"/>
  <hyperlinks>
    <hyperlink ref="G6" r:id="rId1" xr:uid="{EA8FABAD-EC74-4656-97FB-7B18C76C8023}"/>
    <hyperlink ref="G7" r:id="rId2" xr:uid="{873D65D6-47F9-4E9F-9C87-4529C0568D05}"/>
    <hyperlink ref="G5" r:id="rId3" xr:uid="{7F7D484E-E7A4-4116-AC03-B02D0DD07BFC}"/>
  </hyperlinks>
  <pageMargins left="0.511811024" right="0.511811024" top="0.78740157499999996" bottom="0.78740157499999996" header="0.31496062000000002" footer="0.31496062000000002"/>
  <pageSetup paperSize="9" scale="50" orientation="portrait"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00000"/>
  </sheetPr>
  <dimension ref="A1:IT8"/>
  <sheetViews>
    <sheetView topLeftCell="B1" workbookViewId="0">
      <selection activeCell="F4" sqref="F4"/>
    </sheetView>
  </sheetViews>
  <sheetFormatPr defaultRowHeight="13.2"/>
  <cols>
    <col min="1" max="1" width="18.109375" customWidth="1"/>
    <col min="2" max="2" width="40.44140625" customWidth="1"/>
    <col min="3" max="3" width="52.5546875" customWidth="1"/>
    <col min="4" max="4" width="17" customWidth="1"/>
    <col min="5" max="5" width="21.6640625" customWidth="1"/>
    <col min="6" max="6" width="21.109375" customWidth="1"/>
    <col min="8" max="8" width="7.44140625" customWidth="1"/>
  </cols>
  <sheetData>
    <row r="1" spans="1:254" ht="14.4">
      <c r="A1" s="138" t="s">
        <v>272</v>
      </c>
      <c r="B1" s="53"/>
      <c r="C1" s="53"/>
      <c r="D1" s="53"/>
      <c r="E1" s="53"/>
      <c r="F1" s="53"/>
      <c r="G1" s="53"/>
      <c r="H1" s="5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  <c r="CL1" s="23"/>
      <c r="CM1" s="23"/>
      <c r="CN1" s="23"/>
      <c r="CO1" s="23"/>
      <c r="CP1" s="23"/>
      <c r="CQ1" s="23"/>
      <c r="CR1" s="23"/>
      <c r="CS1" s="23"/>
      <c r="CT1" s="23"/>
      <c r="CU1" s="23"/>
      <c r="CV1" s="23"/>
      <c r="CW1" s="23"/>
      <c r="CX1" s="23"/>
      <c r="CY1" s="23"/>
      <c r="CZ1" s="23"/>
      <c r="DA1" s="23"/>
      <c r="DB1" s="23"/>
      <c r="DC1" s="23"/>
      <c r="DD1" s="23"/>
      <c r="DE1" s="23"/>
      <c r="DF1" s="23"/>
      <c r="DG1" s="23"/>
      <c r="DH1" s="23"/>
      <c r="DI1" s="23"/>
      <c r="DJ1" s="23"/>
      <c r="DK1" s="23"/>
      <c r="DL1" s="23"/>
      <c r="DM1" s="23"/>
      <c r="DN1" s="23"/>
      <c r="DO1" s="23"/>
      <c r="DP1" s="23"/>
      <c r="DQ1" s="23"/>
      <c r="DR1" s="23"/>
      <c r="DS1" s="23"/>
      <c r="DT1" s="23"/>
      <c r="DU1" s="23"/>
      <c r="DV1" s="23"/>
      <c r="DW1" s="23"/>
      <c r="DX1" s="23"/>
      <c r="DY1" s="23"/>
      <c r="DZ1" s="23"/>
      <c r="EA1" s="23"/>
      <c r="EB1" s="23"/>
      <c r="EC1" s="23"/>
      <c r="ED1" s="23"/>
      <c r="EE1" s="23"/>
      <c r="EF1" s="23"/>
      <c r="EG1" s="23"/>
      <c r="EH1" s="23"/>
      <c r="EI1" s="23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  <c r="HV1" s="23"/>
      <c r="HW1" s="23"/>
      <c r="HX1" s="23"/>
      <c r="HY1" s="23"/>
      <c r="HZ1" s="23"/>
      <c r="IA1" s="23"/>
      <c r="IB1" s="23"/>
      <c r="IC1" s="23"/>
      <c r="ID1" s="23"/>
      <c r="IE1" s="23"/>
      <c r="IF1" s="23"/>
      <c r="IG1" s="23"/>
      <c r="IH1" s="23"/>
      <c r="II1" s="23"/>
      <c r="IJ1" s="23"/>
      <c r="IK1" s="23"/>
      <c r="IL1" s="23"/>
      <c r="IM1" s="23"/>
      <c r="IN1" s="23"/>
      <c r="IO1" s="23"/>
      <c r="IP1" s="23"/>
      <c r="IQ1" s="23"/>
      <c r="IR1" s="23"/>
      <c r="IS1" s="23"/>
      <c r="IT1" s="23"/>
    </row>
    <row r="2" spans="1:254" ht="15" thickBot="1">
      <c r="A2" s="54"/>
      <c r="B2" s="55"/>
      <c r="C2" s="55"/>
      <c r="D2" s="55"/>
      <c r="E2" s="55"/>
      <c r="F2" s="55"/>
      <c r="G2" s="53"/>
      <c r="H2" s="5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23"/>
      <c r="CV2" s="23"/>
      <c r="CW2" s="23"/>
      <c r="CX2" s="23"/>
      <c r="CY2" s="23"/>
      <c r="CZ2" s="23"/>
      <c r="DA2" s="23"/>
      <c r="DB2" s="23"/>
      <c r="DC2" s="23"/>
      <c r="DD2" s="23"/>
      <c r="DE2" s="23"/>
      <c r="DF2" s="23"/>
      <c r="DG2" s="23"/>
      <c r="DH2" s="23"/>
      <c r="DI2" s="23"/>
      <c r="DJ2" s="23"/>
      <c r="DK2" s="23"/>
      <c r="DL2" s="23"/>
      <c r="DM2" s="23"/>
      <c r="DN2" s="23"/>
      <c r="DO2" s="23"/>
      <c r="DP2" s="23"/>
      <c r="DQ2" s="23"/>
      <c r="DR2" s="23"/>
      <c r="DS2" s="23"/>
      <c r="DT2" s="23"/>
      <c r="DU2" s="23"/>
      <c r="DV2" s="23"/>
      <c r="DW2" s="23"/>
      <c r="DX2" s="23"/>
      <c r="DY2" s="23"/>
      <c r="DZ2" s="23"/>
      <c r="EA2" s="23"/>
      <c r="EB2" s="23"/>
      <c r="EC2" s="23"/>
      <c r="ED2" s="23"/>
      <c r="EE2" s="23"/>
      <c r="EF2" s="23"/>
      <c r="EG2" s="23"/>
      <c r="EH2" s="23"/>
      <c r="EI2" s="2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  <c r="HV2" s="23"/>
      <c r="HW2" s="23"/>
      <c r="HX2" s="23"/>
      <c r="HY2" s="23"/>
      <c r="HZ2" s="23"/>
      <c r="IA2" s="23"/>
      <c r="IB2" s="23"/>
      <c r="IC2" s="23"/>
      <c r="ID2" s="23"/>
      <c r="IE2" s="23"/>
      <c r="IF2" s="23"/>
      <c r="IG2" s="23"/>
      <c r="IH2" s="23"/>
      <c r="II2" s="23"/>
      <c r="IJ2" s="23"/>
      <c r="IK2" s="23"/>
      <c r="IL2" s="23"/>
      <c r="IM2" s="23"/>
      <c r="IN2" s="23"/>
      <c r="IO2" s="23"/>
      <c r="IP2" s="23"/>
      <c r="IQ2" s="23"/>
      <c r="IR2" s="23"/>
      <c r="IS2" s="23"/>
      <c r="IT2" s="23"/>
    </row>
    <row r="3" spans="1:254" ht="51" customHeight="1">
      <c r="A3" s="386" t="s">
        <v>20</v>
      </c>
      <c r="B3" s="387" t="s">
        <v>252</v>
      </c>
      <c r="C3" s="387" t="s">
        <v>253</v>
      </c>
      <c r="D3" s="387" t="s">
        <v>254</v>
      </c>
      <c r="E3" s="388" t="s">
        <v>249</v>
      </c>
      <c r="F3" s="389" t="s">
        <v>273</v>
      </c>
      <c r="G3" s="53"/>
      <c r="H3" s="5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</row>
    <row r="4" spans="1:254" ht="31.2">
      <c r="A4" s="363" t="str">
        <f>'BASE-Endereços e Contatos'!A5</f>
        <v>SRA-GO-TO</v>
      </c>
      <c r="B4" s="364" t="str">
        <f>'BASE-Endereços e Contatos'!B5</f>
        <v>Superintendência Regional de Administração em Goiás e Tocantins</v>
      </c>
      <c r="C4" s="365" t="str">
        <f>'BASE-Endereços e Contatos'!C5</f>
        <v>Nona Avenida, Quadra A 34, LT. 01/11, Bairro Leste Universitário - Goiânia - GO - CEP: 74.603-010</v>
      </c>
      <c r="D4" s="365" t="str">
        <f>'BASE-Endereços e Contatos'!D5</f>
        <v>Setor Leste Universitário</v>
      </c>
      <c r="E4" s="366" t="str">
        <f>'BASE-Endereços e Contatos'!E5</f>
        <v>Goiânia/GO</v>
      </c>
      <c r="F4" s="374">
        <v>4.3</v>
      </c>
    </row>
    <row r="5" spans="1:254" ht="56.25" customHeight="1" thickBot="1">
      <c r="A5" s="367" t="str">
        <f>'BASE-Endereços e Contatos'!A6</f>
        <v>PFN/GO</v>
      </c>
      <c r="B5" s="368" t="str">
        <f>'BASE-Endereços e Contatos'!B6</f>
        <v>Procuradoria da Fazenda Nacional em Goiás</v>
      </c>
      <c r="C5" s="369" t="str">
        <f>'BASE-Endereços e Contatos'!C6</f>
        <v>Av. B (Av. Profºr. Alfredo de Castro), esquina com Rua 05, quadra B-O, lote 07, nº 178 - Setor Oeste, Goiânia - GO - CEP: 74.110-030</v>
      </c>
      <c r="D5" s="369" t="str">
        <f>'BASE-Endereços e Contatos'!D6</f>
        <v>Setor Oeste</v>
      </c>
      <c r="E5" s="370" t="str">
        <f>'BASE-Endereços e Contatos'!E6</f>
        <v>Goiânia/GO</v>
      </c>
      <c r="F5" s="375">
        <v>4.3</v>
      </c>
      <c r="G5" s="53"/>
      <c r="H5" s="53"/>
    </row>
    <row r="6" spans="1:254" ht="31.2">
      <c r="A6" s="371" t="str">
        <f>'BASE-Endereços e Contatos'!A7</f>
        <v>SPU/GO</v>
      </c>
      <c r="B6" s="372" t="str">
        <f>'BASE-Endereços e Contatos'!B7</f>
        <v>Superintendência do Patrimônio da União em Goiás</v>
      </c>
      <c r="C6" s="373" t="str">
        <f>'BASE-Endereços e Contatos'!C7</f>
        <v>Rua 06. quadra F-04, Lote 38/40, nº 483 - Setor Oeste - Goiânia - GO - CEP: 74.115-070</v>
      </c>
      <c r="D6" s="373" t="str">
        <f>'BASE-Endereços e Contatos'!D7</f>
        <v>Setor Oeste</v>
      </c>
      <c r="E6" s="366" t="str">
        <f>'BASE-Endereços e Contatos'!E7</f>
        <v>Goiânia/GO</v>
      </c>
      <c r="F6" s="376">
        <v>4.3</v>
      </c>
      <c r="G6" s="243"/>
    </row>
    <row r="8" spans="1:254" ht="14.4">
      <c r="A8" s="53"/>
      <c r="B8" s="53"/>
      <c r="C8" s="53"/>
      <c r="D8" s="56"/>
      <c r="E8" s="53"/>
      <c r="F8" s="53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D83F27D3C7C244B4B0353FCEF2D32D" ma:contentTypeVersion="8" ma:contentTypeDescription="Crie um novo documento." ma:contentTypeScope="" ma:versionID="63d10bb8eb3afb3849c9700a3f4d6c68">
  <xsd:schema xmlns:xsd="http://www.w3.org/2001/XMLSchema" xmlns:xs="http://www.w3.org/2001/XMLSchema" xmlns:p="http://schemas.microsoft.com/office/2006/metadata/properties" xmlns:ns2="6b69e0ef-d27d-470e-880f-3d6c413f2b1e" xmlns:ns3="8189a329-b568-4eef-85cb-0b87258ac610" targetNamespace="http://schemas.microsoft.com/office/2006/metadata/properties" ma:root="true" ma:fieldsID="38a6917d0576a30424f4f907e4944757" ns2:_="" ns3:_="">
    <xsd:import namespace="6b69e0ef-d27d-470e-880f-3d6c413f2b1e"/>
    <xsd:import namespace="8189a329-b568-4eef-85cb-0b87258ac6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9e0ef-d27d-470e-880f-3d6c413f2b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9a329-b568-4eef-85cb-0b87258ac61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189a329-b568-4eef-85cb-0b87258ac610">
      <UserInfo>
        <DisplayName>Patricia Santos de Sousa Silva</DisplayName>
        <AccountId>36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2636276-0E71-47C4-BA5C-0CE358CA6E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553AB2-2E9C-4ABC-A125-2ADF021FE2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69e0ef-d27d-470e-880f-3d6c413f2b1e"/>
    <ds:schemaRef ds:uri="8189a329-b568-4eef-85cb-0b87258ac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E46684-797E-4F31-9ACC-F864250CA0B8}">
  <ds:schemaRefs>
    <ds:schemaRef ds:uri="http://schemas.microsoft.com/office/2006/metadata/properties"/>
    <ds:schemaRef ds:uri="http://schemas.microsoft.com/office/infopath/2007/PartnerControls"/>
    <ds:schemaRef ds:uri="8189a329-b568-4eef-85cb-0b87258ac61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PROPOSTA RESUMO</vt:lpstr>
      <vt:lpstr>Produtividade X Postos</vt:lpstr>
      <vt:lpstr>Metragem por Localidade</vt:lpstr>
      <vt:lpstr>Produtividade X Custos Resumo</vt:lpstr>
      <vt:lpstr>BASE-MATERIAL-EQUIP-UNIFORME</vt:lpstr>
      <vt:lpstr>BASE-APR VR</vt:lpstr>
      <vt:lpstr>BASE-Alíquotas ISS</vt:lpstr>
      <vt:lpstr>BASE-Endereços e Contatos</vt:lpstr>
      <vt:lpstr>BASE-Tarifas de Passagens</vt:lpstr>
      <vt:lpstr>1-Servente Goiânia SRA</vt:lpstr>
      <vt:lpstr>2-Servente Goiânia PFN</vt:lpstr>
      <vt:lpstr>3-Servente Goiania SPU</vt:lpstr>
    </vt:vector>
  </TitlesOfParts>
  <Manager/>
  <Company>WinXP SP2 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Usuário</dc:creator>
  <cp:keywords/>
  <dc:description/>
  <cp:lastModifiedBy>Luiz</cp:lastModifiedBy>
  <cp:revision/>
  <dcterms:created xsi:type="dcterms:W3CDTF">2011-03-14T18:38:30Z</dcterms:created>
  <dcterms:modified xsi:type="dcterms:W3CDTF">2024-03-15T12:49:19Z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0x01010044D83F27D3C7C244B4B0353FCEF2D32D</vt:lpwstr>
  </property>
</Properties>
</file>